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panynj-my.sharepoint.com/personal/ostokes_panynj_gov/Documents/"/>
    </mc:Choice>
  </mc:AlternateContent>
  <xr:revisionPtr revIDLastSave="0" documentId="8_{8C7CDEDF-CE77-413E-8EA2-9E5FBD908C6B}" xr6:coauthVersionLast="47" xr6:coauthVersionMax="47" xr10:uidLastSave="{00000000-0000-0000-0000-000000000000}"/>
  <bookViews>
    <workbookView xWindow="-110" yWindow="-110" windowWidth="25180" windowHeight="16860" tabRatio="881" xr2:uid="{00000000-000D-0000-FFFF-FFFF00000000}"/>
  </bookViews>
  <sheets>
    <sheet name="INSTRUCTIONS and DATA" sheetId="65" r:id="rId1"/>
    <sheet name="DB Definitions" sheetId="8" r:id="rId2"/>
    <sheet name="junk (2)" sheetId="6" state="hidden" r:id="rId3"/>
    <sheet name="junk" sheetId="5" state="hidden" r:id="rId4"/>
    <sheet name="Stage I Estimate Form" sheetId="3" state="hidden" r:id="rId5"/>
    <sheet name="Summary D-B-B" sheetId="1" r:id="rId6"/>
    <sheet name="Summary Design Build" sheetId="7" r:id="rId7"/>
    <sheet name="Net Cost" sheetId="66" r:id="rId8"/>
    <sheet name="GConditions" sheetId="2" r:id="rId9"/>
    <sheet name="MOT" sheetId="54" r:id="rId10"/>
    <sheet name="Civil" sheetId="43" r:id="rId11"/>
    <sheet name="Structural" sheetId="55" r:id="rId12"/>
    <sheet name="Architectural" sheetId="56" r:id="rId13"/>
    <sheet name="Mechanical" sheetId="57" r:id="rId14"/>
    <sheet name="Plumbing" sheetId="58" r:id="rId15"/>
    <sheet name="Fire Protection" sheetId="59" r:id="rId16"/>
    <sheet name="Electrical" sheetId="60" r:id="rId17"/>
    <sheet name="Electronics" sheetId="61" r:id="rId18"/>
    <sheet name="Environmental" sheetId="62" r:id="rId19"/>
    <sheet name="Geotechnical" sheetId="63" r:id="rId20"/>
    <sheet name="Traffic-Perm" sheetId="64" r:id="rId21"/>
    <sheet name="Constr Allowances" sheetId="67" r:id="rId22"/>
  </sheets>
  <definedNames>
    <definedName name="EE">'Summary D-B-B'!$G$31</definedName>
    <definedName name="NetCost">'Summary D-B-B'!$F$34</definedName>
    <definedName name="_xlnm.Print_Area" localSheetId="12">Architectural!$A$1:$P$46</definedName>
    <definedName name="_xlnm.Print_Area" localSheetId="10">Civil!$A$1:$P$43</definedName>
    <definedName name="_xlnm.Print_Area" localSheetId="21">'Constr Allowances'!$A$1:$P$46</definedName>
    <definedName name="_xlnm.Print_Area" localSheetId="16">Electrical!$A$1:$P$46</definedName>
    <definedName name="_xlnm.Print_Area" localSheetId="17">Electronics!$A$1:$P$46</definedName>
    <definedName name="_xlnm.Print_Area" localSheetId="18">Environmental!$A$1:$P$45</definedName>
    <definedName name="_xlnm.Print_Area" localSheetId="15">'Fire Protection'!$A$1:$P$46</definedName>
    <definedName name="_xlnm.Print_Area" localSheetId="19">Geotechnical!$A$1:$P$46</definedName>
    <definedName name="_xlnm.Print_Area" localSheetId="13">Mechanical!$A$1:$P$46</definedName>
    <definedName name="_xlnm.Print_Area" localSheetId="9">MOT!$A$1:$P$46</definedName>
    <definedName name="_xlnm.Print_Area" localSheetId="14">Plumbing!$A$1:$N$46</definedName>
    <definedName name="_xlnm.Print_Area" localSheetId="4">'Stage I Estimate Form'!$B$2:$L$35</definedName>
    <definedName name="_xlnm.Print_Area" localSheetId="11">Structural!$A$1:$P$46</definedName>
    <definedName name="_xlnm.Print_Area" localSheetId="5">'Summary D-B-B'!$A$1:$J$55</definedName>
    <definedName name="_xlnm.Print_Area" localSheetId="6">'Summary Design Build'!$A$1:$K$59</definedName>
    <definedName name="_xlnm.Print_Area" localSheetId="20">'Traffic-Perm'!$A$1:$P$47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AA13" i="65" l="1"/>
  <c r="AA12" i="65"/>
  <c r="K25" i="62" l="1"/>
  <c r="J25" i="62"/>
  <c r="L25" i="62" s="1"/>
  <c r="K24" i="62"/>
  <c r="J24" i="62"/>
  <c r="L24" i="62" s="1"/>
  <c r="K23" i="62"/>
  <c r="K27" i="62" s="1"/>
  <c r="K28" i="62" s="1"/>
  <c r="L28" i="62" s="1"/>
  <c r="J23" i="62"/>
  <c r="L23" i="62" s="1"/>
  <c r="J15" i="62"/>
  <c r="L15" i="62" s="1"/>
  <c r="K15" i="62"/>
  <c r="J12" i="62"/>
  <c r="K12" i="62"/>
  <c r="L27" i="62" l="1"/>
  <c r="L29" i="62" s="1"/>
  <c r="L12" i="62"/>
  <c r="J27" i="62"/>
  <c r="J12" i="65"/>
  <c r="D2" i="67" l="1"/>
  <c r="D2" i="64"/>
  <c r="D2" i="63"/>
  <c r="D2" i="62"/>
  <c r="D2" i="61"/>
  <c r="D2" i="60"/>
  <c r="D2" i="59"/>
  <c r="D2" i="58"/>
  <c r="D2" i="57"/>
  <c r="D2" i="56"/>
  <c r="D2" i="55"/>
  <c r="D2" i="43"/>
  <c r="D2" i="54"/>
  <c r="D3" i="2"/>
  <c r="D9" i="66"/>
  <c r="O3" i="7" l="1"/>
  <c r="D5" i="67" l="1"/>
  <c r="D5" i="64"/>
  <c r="D5" i="63"/>
  <c r="D5" i="62"/>
  <c r="D5" i="61"/>
  <c r="D5" i="60"/>
  <c r="D5" i="59"/>
  <c r="D5" i="58"/>
  <c r="D5" i="57"/>
  <c r="D5" i="56"/>
  <c r="D5" i="55"/>
  <c r="D5" i="43"/>
  <c r="D5" i="54"/>
  <c r="D5" i="2" l="1"/>
  <c r="F20" i="2"/>
  <c r="F13" i="2"/>
  <c r="K25" i="43"/>
  <c r="J25" i="43"/>
  <c r="K24" i="43"/>
  <c r="J24" i="43"/>
  <c r="J27" i="43" s="1"/>
  <c r="K23" i="43"/>
  <c r="J23" i="43"/>
  <c r="K27" i="43" l="1"/>
  <c r="L25" i="43"/>
  <c r="L24" i="43"/>
  <c r="L23" i="43"/>
  <c r="H35" i="1"/>
  <c r="L27" i="43" l="1"/>
  <c r="I33" i="66"/>
  <c r="I32" i="66"/>
  <c r="I31" i="66"/>
  <c r="I30" i="66"/>
  <c r="I29" i="66"/>
  <c r="I28" i="66"/>
  <c r="I27" i="66"/>
  <c r="I26" i="66"/>
  <c r="I25" i="66"/>
  <c r="I24" i="66"/>
  <c r="I23" i="66"/>
  <c r="I22" i="66"/>
  <c r="I21" i="66"/>
  <c r="D11" i="66"/>
  <c r="D5" i="7" l="1"/>
  <c r="D5" i="1"/>
  <c r="F9" i="1"/>
  <c r="F10" i="1"/>
  <c r="F8" i="1"/>
  <c r="F6" i="1"/>
  <c r="D8" i="1"/>
  <c r="D9" i="1"/>
  <c r="D10" i="1"/>
  <c r="D7" i="1"/>
  <c r="D6" i="1"/>
  <c r="D8" i="7"/>
  <c r="D9" i="7"/>
  <c r="D10" i="7"/>
  <c r="D11" i="7"/>
  <c r="D7" i="7"/>
  <c r="D6" i="7"/>
  <c r="F11" i="7"/>
  <c r="F10" i="7"/>
  <c r="F9" i="7"/>
  <c r="F6" i="7"/>
  <c r="J10" i="7"/>
  <c r="J9" i="1"/>
  <c r="J6" i="1"/>
  <c r="J6" i="7"/>
  <c r="K28" i="67"/>
  <c r="J28" i="67"/>
  <c r="K27" i="67"/>
  <c r="J27" i="67"/>
  <c r="L27" i="67" s="1"/>
  <c r="K26" i="67"/>
  <c r="J26" i="67"/>
  <c r="L26" i="67" s="1"/>
  <c r="L25" i="67"/>
  <c r="K25" i="67"/>
  <c r="J25" i="67"/>
  <c r="K24" i="67"/>
  <c r="J24" i="67"/>
  <c r="L24" i="67" s="1"/>
  <c r="K23" i="67"/>
  <c r="J23" i="67"/>
  <c r="L23" i="67" s="1"/>
  <c r="K22" i="67"/>
  <c r="J22" i="67"/>
  <c r="L22" i="67" s="1"/>
  <c r="K21" i="67"/>
  <c r="J21" i="67"/>
  <c r="K20" i="67"/>
  <c r="J20" i="67"/>
  <c r="K19" i="67"/>
  <c r="J19" i="67"/>
  <c r="L19" i="67" s="1"/>
  <c r="K18" i="67"/>
  <c r="J18" i="67"/>
  <c r="L18" i="67" s="1"/>
  <c r="K17" i="67"/>
  <c r="J17" i="67"/>
  <c r="L17" i="67" s="1"/>
  <c r="K16" i="67"/>
  <c r="J16" i="67"/>
  <c r="L16" i="67" s="1"/>
  <c r="K15" i="67"/>
  <c r="J15" i="67"/>
  <c r="L15" i="67" s="1"/>
  <c r="K14" i="67"/>
  <c r="J14" i="67"/>
  <c r="K13" i="67"/>
  <c r="J13" i="67"/>
  <c r="L13" i="67" s="1"/>
  <c r="K12" i="67"/>
  <c r="J12" i="67"/>
  <c r="K11" i="67"/>
  <c r="J11" i="67"/>
  <c r="L11" i="67" s="1"/>
  <c r="K10" i="67"/>
  <c r="J10" i="67"/>
  <c r="L20" i="67" l="1"/>
  <c r="L12" i="67"/>
  <c r="J30" i="67"/>
  <c r="L21" i="67"/>
  <c r="L28" i="67"/>
  <c r="L14" i="67"/>
  <c r="K30" i="67"/>
  <c r="K31" i="67" s="1"/>
  <c r="L31" i="67" s="1"/>
  <c r="L10" i="67"/>
  <c r="L30" i="67" s="1"/>
  <c r="L32" i="67" l="1"/>
  <c r="F8" i="7"/>
  <c r="E38" i="7" l="1"/>
  <c r="I16" i="66" l="1"/>
  <c r="I17" i="66"/>
  <c r="I18" i="66"/>
  <c r="I19" i="66"/>
  <c r="I20" i="66"/>
  <c r="I34" i="66"/>
  <c r="I35" i="66"/>
  <c r="I36" i="66"/>
  <c r="I37" i="66"/>
  <c r="I38" i="66"/>
  <c r="I39" i="66"/>
  <c r="I40" i="66"/>
  <c r="I41" i="66"/>
  <c r="I42" i="66"/>
  <c r="I43" i="66" l="1"/>
  <c r="J14" i="56"/>
  <c r="J14" i="59"/>
  <c r="K14" i="59"/>
  <c r="J45" i="7" l="1"/>
  <c r="J13" i="65"/>
  <c r="AB12" i="65" s="1"/>
  <c r="AB13" i="65" s="1"/>
  <c r="J7" i="1" s="1"/>
  <c r="H46" i="1" l="1"/>
  <c r="J14" i="65" l="1"/>
  <c r="F19" i="62" l="1"/>
  <c r="F19" i="43"/>
  <c r="F30" i="62"/>
  <c r="L30" i="62" s="1"/>
  <c r="L31" i="62" s="1"/>
  <c r="F33" i="54"/>
  <c r="F33" i="67"/>
  <c r="L33" i="67" s="1"/>
  <c r="L34" i="67" s="1"/>
  <c r="F27" i="7" s="1"/>
  <c r="G15" i="65"/>
  <c r="E39" i="7" s="1"/>
  <c r="G13" i="65"/>
  <c r="B17" i="66" l="1"/>
  <c r="B18" i="66" s="1"/>
  <c r="E37" i="1"/>
  <c r="E30" i="1"/>
  <c r="J8" i="1"/>
  <c r="C27" i="1"/>
  <c r="G12" i="65"/>
  <c r="F33" i="64"/>
  <c r="B19" i="66" l="1"/>
  <c r="F33" i="59"/>
  <c r="F33" i="60"/>
  <c r="F33" i="55"/>
  <c r="F33" i="63"/>
  <c r="F33" i="56"/>
  <c r="F33" i="57"/>
  <c r="F33" i="61"/>
  <c r="F30" i="43"/>
  <c r="F33" i="58"/>
  <c r="B11" i="2"/>
  <c r="B12" i="2" s="1"/>
  <c r="B13" i="2" s="1"/>
  <c r="B14" i="2" s="1"/>
  <c r="B15" i="2" s="1"/>
  <c r="B16" i="2" s="1"/>
  <c r="B17" i="2" s="1"/>
  <c r="B18" i="2" s="1"/>
  <c r="B19" i="2" s="1"/>
  <c r="B20" i="2" s="1"/>
  <c r="I17" i="2"/>
  <c r="K14" i="64"/>
  <c r="J14" i="64"/>
  <c r="K13" i="64"/>
  <c r="J13" i="64"/>
  <c r="K12" i="64"/>
  <c r="J12" i="64"/>
  <c r="L12" i="64" s="1"/>
  <c r="K14" i="63"/>
  <c r="J14" i="63"/>
  <c r="K13" i="63"/>
  <c r="J13" i="63"/>
  <c r="K12" i="63"/>
  <c r="J12" i="63"/>
  <c r="K14" i="62"/>
  <c r="J14" i="62"/>
  <c r="K13" i="62"/>
  <c r="J13" i="62"/>
  <c r="J16" i="62" s="1"/>
  <c r="K14" i="61"/>
  <c r="J14" i="61"/>
  <c r="K13" i="61"/>
  <c r="J13" i="61"/>
  <c r="K12" i="61"/>
  <c r="J12" i="61"/>
  <c r="K16" i="62" l="1"/>
  <c r="K17" i="62" s="1"/>
  <c r="L17" i="62" s="1"/>
  <c r="L14" i="62"/>
  <c r="B20" i="66"/>
  <c r="B21" i="66" s="1"/>
  <c r="B22" i="66" s="1"/>
  <c r="B23" i="66" s="1"/>
  <c r="B24" i="66" s="1"/>
  <c r="B25" i="66" s="1"/>
  <c r="B26" i="66" s="1"/>
  <c r="B27" i="66" s="1"/>
  <c r="B28" i="66" s="1"/>
  <c r="B29" i="66" s="1"/>
  <c r="B30" i="66" s="1"/>
  <c r="B31" i="66" s="1"/>
  <c r="B32" i="66" s="1"/>
  <c r="B33" i="66" s="1"/>
  <c r="B34" i="66" s="1"/>
  <c r="B35" i="66" s="1"/>
  <c r="B36" i="66" s="1"/>
  <c r="B37" i="66" s="1"/>
  <c r="B38" i="66" s="1"/>
  <c r="B39" i="66" s="1"/>
  <c r="L12" i="61"/>
  <c r="L14" i="61"/>
  <c r="L14" i="64"/>
  <c r="L12" i="63"/>
  <c r="L13" i="64"/>
  <c r="L14" i="63"/>
  <c r="L13" i="63"/>
  <c r="L13" i="62"/>
  <c r="L16" i="62" s="1"/>
  <c r="L13" i="61"/>
  <c r="K14" i="60"/>
  <c r="J14" i="60"/>
  <c r="K13" i="60"/>
  <c r="J13" i="60"/>
  <c r="K12" i="60"/>
  <c r="J12" i="60"/>
  <c r="L12" i="60" s="1"/>
  <c r="L14" i="59"/>
  <c r="K13" i="59"/>
  <c r="J13" i="59"/>
  <c r="K12" i="59"/>
  <c r="J12" i="59"/>
  <c r="K14" i="58"/>
  <c r="J14" i="58"/>
  <c r="K13" i="58"/>
  <c r="J13" i="58"/>
  <c r="K12" i="58"/>
  <c r="J12" i="58"/>
  <c r="K14" i="57"/>
  <c r="J14" i="57"/>
  <c r="K13" i="57"/>
  <c r="J13" i="57"/>
  <c r="K12" i="57"/>
  <c r="J12" i="57"/>
  <c r="K14" i="56"/>
  <c r="L14" i="56" s="1"/>
  <c r="K13" i="56"/>
  <c r="J13" i="56"/>
  <c r="K12" i="56"/>
  <c r="J12" i="56"/>
  <c r="K14" i="55"/>
  <c r="J14" i="55"/>
  <c r="K13" i="55"/>
  <c r="J13" i="55"/>
  <c r="L13" i="55" s="1"/>
  <c r="K12" i="55"/>
  <c r="J12" i="55"/>
  <c r="K14" i="43"/>
  <c r="J14" i="43"/>
  <c r="K13" i="43"/>
  <c r="J13" i="43"/>
  <c r="K12" i="43"/>
  <c r="J12" i="43"/>
  <c r="F11" i="2"/>
  <c r="E28" i="7"/>
  <c r="L18" i="62" l="1"/>
  <c r="L19" i="62" s="1"/>
  <c r="L20" i="62" s="1"/>
  <c r="L33" i="62" s="1"/>
  <c r="F24" i="1"/>
  <c r="F24" i="7"/>
  <c r="J16" i="43"/>
  <c r="K16" i="43"/>
  <c r="K17" i="43" s="1"/>
  <c r="L17" i="43" s="1"/>
  <c r="L12" i="59"/>
  <c r="L12" i="57"/>
  <c r="L13" i="58"/>
  <c r="L12" i="56"/>
  <c r="L12" i="58"/>
  <c r="L13" i="59"/>
  <c r="L12" i="43"/>
  <c r="L12" i="55"/>
  <c r="L14" i="60"/>
  <c r="L14" i="57"/>
  <c r="L14" i="55"/>
  <c r="L14" i="58"/>
  <c r="L13" i="60"/>
  <c r="L13" i="57"/>
  <c r="L13" i="56"/>
  <c r="L13" i="43"/>
  <c r="L14" i="43"/>
  <c r="K28" i="64"/>
  <c r="J28" i="64"/>
  <c r="K27" i="64"/>
  <c r="J27" i="64"/>
  <c r="K26" i="64"/>
  <c r="J26" i="64"/>
  <c r="K25" i="64"/>
  <c r="J25" i="64"/>
  <c r="L25" i="64" s="1"/>
  <c r="K24" i="64"/>
  <c r="J24" i="64"/>
  <c r="K23" i="64"/>
  <c r="J23" i="64"/>
  <c r="K22" i="64"/>
  <c r="J22" i="64"/>
  <c r="K21" i="64"/>
  <c r="J21" i="64"/>
  <c r="K20" i="64"/>
  <c r="J20" i="64"/>
  <c r="K19" i="64"/>
  <c r="J19" i="64"/>
  <c r="K18" i="64"/>
  <c r="J18" i="64"/>
  <c r="K17" i="64"/>
  <c r="J17" i="64"/>
  <c r="K16" i="64"/>
  <c r="J16" i="64"/>
  <c r="K15" i="64"/>
  <c r="J15" i="64"/>
  <c r="K11" i="64"/>
  <c r="J11" i="64"/>
  <c r="K10" i="64"/>
  <c r="J10" i="64"/>
  <c r="K28" i="63"/>
  <c r="J28" i="63"/>
  <c r="K27" i="63"/>
  <c r="J27" i="63"/>
  <c r="K26" i="63"/>
  <c r="J26" i="63"/>
  <c r="K25" i="63"/>
  <c r="J25" i="63"/>
  <c r="K24" i="63"/>
  <c r="J24" i="63"/>
  <c r="K23" i="63"/>
  <c r="J23" i="63"/>
  <c r="K22" i="63"/>
  <c r="J22" i="63"/>
  <c r="K21" i="63"/>
  <c r="J21" i="63"/>
  <c r="K20" i="63"/>
  <c r="J20" i="63"/>
  <c r="K19" i="63"/>
  <c r="J19" i="63"/>
  <c r="K18" i="63"/>
  <c r="J18" i="63"/>
  <c r="K17" i="63"/>
  <c r="J17" i="63"/>
  <c r="K16" i="63"/>
  <c r="J16" i="63"/>
  <c r="K15" i="63"/>
  <c r="J15" i="63"/>
  <c r="K11" i="63"/>
  <c r="J11" i="63"/>
  <c r="K10" i="63"/>
  <c r="J10" i="63"/>
  <c r="K28" i="61"/>
  <c r="J28" i="61"/>
  <c r="K27" i="61"/>
  <c r="J27" i="61"/>
  <c r="K26" i="61"/>
  <c r="J26" i="61"/>
  <c r="K25" i="61"/>
  <c r="J25" i="61"/>
  <c r="K24" i="61"/>
  <c r="J24" i="61"/>
  <c r="K23" i="61"/>
  <c r="L23" i="61" s="1"/>
  <c r="J23" i="61"/>
  <c r="K22" i="61"/>
  <c r="J22" i="61"/>
  <c r="K21" i="61"/>
  <c r="J21" i="61"/>
  <c r="K20" i="61"/>
  <c r="L20" i="61" s="1"/>
  <c r="J20" i="61"/>
  <c r="K19" i="61"/>
  <c r="J19" i="61"/>
  <c r="K18" i="61"/>
  <c r="J18" i="61"/>
  <c r="K17" i="61"/>
  <c r="J17" i="61"/>
  <c r="K16" i="61"/>
  <c r="J16" i="61"/>
  <c r="K15" i="61"/>
  <c r="J15" i="61"/>
  <c r="K11" i="61"/>
  <c r="J11" i="61"/>
  <c r="K10" i="61"/>
  <c r="J10" i="61"/>
  <c r="K28" i="60"/>
  <c r="J28" i="60"/>
  <c r="K27" i="60"/>
  <c r="J27" i="60"/>
  <c r="L27" i="60" s="1"/>
  <c r="K26" i="60"/>
  <c r="J26" i="60"/>
  <c r="K25" i="60"/>
  <c r="J25" i="60"/>
  <c r="K24" i="60"/>
  <c r="J24" i="60"/>
  <c r="K23" i="60"/>
  <c r="J23" i="60"/>
  <c r="L23" i="60" s="1"/>
  <c r="K22" i="60"/>
  <c r="J22" i="60"/>
  <c r="K21" i="60"/>
  <c r="J21" i="60"/>
  <c r="K20" i="60"/>
  <c r="J20" i="60"/>
  <c r="K19" i="60"/>
  <c r="J19" i="60"/>
  <c r="K18" i="60"/>
  <c r="J18" i="60"/>
  <c r="K17" i="60"/>
  <c r="J17" i="60"/>
  <c r="K16" i="60"/>
  <c r="J16" i="60"/>
  <c r="K15" i="60"/>
  <c r="J15" i="60"/>
  <c r="L15" i="60" s="1"/>
  <c r="K11" i="60"/>
  <c r="J11" i="60"/>
  <c r="L11" i="60" s="1"/>
  <c r="K10" i="60"/>
  <c r="J10" i="60"/>
  <c r="K28" i="59"/>
  <c r="J28" i="59"/>
  <c r="K27" i="59"/>
  <c r="J27" i="59"/>
  <c r="K26" i="59"/>
  <c r="J26" i="59"/>
  <c r="K25" i="59"/>
  <c r="J25" i="59"/>
  <c r="K24" i="59"/>
  <c r="J24" i="59"/>
  <c r="K23" i="59"/>
  <c r="J23" i="59"/>
  <c r="K22" i="59"/>
  <c r="J22" i="59"/>
  <c r="L22" i="59" s="1"/>
  <c r="K21" i="59"/>
  <c r="J21" i="59"/>
  <c r="K20" i="59"/>
  <c r="J20" i="59"/>
  <c r="K19" i="59"/>
  <c r="J19" i="59"/>
  <c r="L19" i="59" s="1"/>
  <c r="K18" i="59"/>
  <c r="J18" i="59"/>
  <c r="K17" i="59"/>
  <c r="J17" i="59"/>
  <c r="K16" i="59"/>
  <c r="J16" i="59"/>
  <c r="K15" i="59"/>
  <c r="J15" i="59"/>
  <c r="K11" i="59"/>
  <c r="J11" i="59"/>
  <c r="K10" i="59"/>
  <c r="J10" i="59"/>
  <c r="K28" i="58"/>
  <c r="J28" i="58"/>
  <c r="K27" i="58"/>
  <c r="J27" i="58"/>
  <c r="L27" i="58" s="1"/>
  <c r="K26" i="58"/>
  <c r="J26" i="58"/>
  <c r="K25" i="58"/>
  <c r="J25" i="58"/>
  <c r="K24" i="58"/>
  <c r="J24" i="58"/>
  <c r="K23" i="58"/>
  <c r="J23" i="58"/>
  <c r="K22" i="58"/>
  <c r="J22" i="58"/>
  <c r="K21" i="58"/>
  <c r="J21" i="58"/>
  <c r="K20" i="58"/>
  <c r="J20" i="58"/>
  <c r="K19" i="58"/>
  <c r="J19" i="58"/>
  <c r="K18" i="58"/>
  <c r="J18" i="58"/>
  <c r="K17" i="58"/>
  <c r="J17" i="58"/>
  <c r="K16" i="58"/>
  <c r="J16" i="58"/>
  <c r="K15" i="58"/>
  <c r="J15" i="58"/>
  <c r="K11" i="58"/>
  <c r="J11" i="58"/>
  <c r="K10" i="58"/>
  <c r="J10" i="58"/>
  <c r="K28" i="57"/>
  <c r="J28" i="57"/>
  <c r="K27" i="57"/>
  <c r="J27" i="57"/>
  <c r="L27" i="57" s="1"/>
  <c r="K26" i="57"/>
  <c r="J26" i="57"/>
  <c r="K25" i="57"/>
  <c r="J25" i="57"/>
  <c r="K24" i="57"/>
  <c r="J24" i="57"/>
  <c r="K23" i="57"/>
  <c r="J23" i="57"/>
  <c r="K22" i="57"/>
  <c r="J22" i="57"/>
  <c r="K21" i="57"/>
  <c r="J21" i="57"/>
  <c r="K20" i="57"/>
  <c r="J20" i="57"/>
  <c r="K19" i="57"/>
  <c r="J19" i="57"/>
  <c r="K18" i="57"/>
  <c r="J18" i="57"/>
  <c r="K17" i="57"/>
  <c r="J17" i="57"/>
  <c r="K16" i="57"/>
  <c r="J16" i="57"/>
  <c r="K15" i="57"/>
  <c r="J15" i="57"/>
  <c r="L15" i="57" s="1"/>
  <c r="K11" i="57"/>
  <c r="J11" i="57"/>
  <c r="K10" i="57"/>
  <c r="J10" i="57"/>
  <c r="K28" i="56"/>
  <c r="J28" i="56"/>
  <c r="K27" i="56"/>
  <c r="J27" i="56"/>
  <c r="K26" i="56"/>
  <c r="J26" i="56"/>
  <c r="K25" i="56"/>
  <c r="J25" i="56"/>
  <c r="K24" i="56"/>
  <c r="J24" i="56"/>
  <c r="K23" i="56"/>
  <c r="J23" i="56"/>
  <c r="K22" i="56"/>
  <c r="J22" i="56"/>
  <c r="K21" i="56"/>
  <c r="J21" i="56"/>
  <c r="K20" i="56"/>
  <c r="J20" i="56"/>
  <c r="K19" i="56"/>
  <c r="J19" i="56"/>
  <c r="K18" i="56"/>
  <c r="J18" i="56"/>
  <c r="K17" i="56"/>
  <c r="J17" i="56"/>
  <c r="K16" i="56"/>
  <c r="J16" i="56"/>
  <c r="K15" i="56"/>
  <c r="J15" i="56"/>
  <c r="K11" i="56"/>
  <c r="J11" i="56"/>
  <c r="K10" i="56"/>
  <c r="J10" i="56"/>
  <c r="K28" i="55"/>
  <c r="J28" i="55"/>
  <c r="K27" i="55"/>
  <c r="J27" i="55"/>
  <c r="L27" i="55" s="1"/>
  <c r="K26" i="55"/>
  <c r="J26" i="55"/>
  <c r="K25" i="55"/>
  <c r="J25" i="55"/>
  <c r="K24" i="55"/>
  <c r="J24" i="55"/>
  <c r="K23" i="55"/>
  <c r="J23" i="55"/>
  <c r="L23" i="55" s="1"/>
  <c r="K22" i="55"/>
  <c r="J22" i="55"/>
  <c r="K21" i="55"/>
  <c r="J21" i="55"/>
  <c r="K20" i="55"/>
  <c r="J20" i="55"/>
  <c r="K19" i="55"/>
  <c r="J19" i="55"/>
  <c r="K18" i="55"/>
  <c r="J18" i="55"/>
  <c r="K17" i="55"/>
  <c r="J17" i="55"/>
  <c r="K16" i="55"/>
  <c r="J16" i="55"/>
  <c r="K15" i="55"/>
  <c r="J15" i="55"/>
  <c r="K11" i="55"/>
  <c r="J11" i="55"/>
  <c r="L11" i="55" s="1"/>
  <c r="K10" i="55"/>
  <c r="J10" i="55"/>
  <c r="K28" i="54"/>
  <c r="J28" i="54"/>
  <c r="K27" i="54"/>
  <c r="J27" i="54"/>
  <c r="K26" i="54"/>
  <c r="J26" i="54"/>
  <c r="K25" i="54"/>
  <c r="J25" i="54"/>
  <c r="K24" i="54"/>
  <c r="J24" i="54"/>
  <c r="K23" i="54"/>
  <c r="J23" i="54"/>
  <c r="K22" i="54"/>
  <c r="J22" i="54"/>
  <c r="K21" i="54"/>
  <c r="J21" i="54"/>
  <c r="K20" i="54"/>
  <c r="J20" i="54"/>
  <c r="K19" i="54"/>
  <c r="J19" i="54"/>
  <c r="K18" i="54"/>
  <c r="J18" i="54"/>
  <c r="K17" i="54"/>
  <c r="J17" i="54"/>
  <c r="K16" i="54"/>
  <c r="J16" i="54"/>
  <c r="K15" i="54"/>
  <c r="J15" i="54"/>
  <c r="K14" i="54"/>
  <c r="J14" i="54"/>
  <c r="K13" i="54"/>
  <c r="J13" i="54"/>
  <c r="K12" i="54"/>
  <c r="J12" i="54"/>
  <c r="K11" i="54"/>
  <c r="J11" i="54"/>
  <c r="K10" i="54"/>
  <c r="J10" i="54"/>
  <c r="L10" i="56" l="1"/>
  <c r="L17" i="58"/>
  <c r="L21" i="58"/>
  <c r="L17" i="59"/>
  <c r="L21" i="59"/>
  <c r="L16" i="43"/>
  <c r="L18" i="43" s="1"/>
  <c r="L19" i="43" s="1"/>
  <c r="L20" i="43" s="1"/>
  <c r="L18" i="63"/>
  <c r="L26" i="63"/>
  <c r="L28" i="56"/>
  <c r="L23" i="63"/>
  <c r="L22" i="54"/>
  <c r="L26" i="54"/>
  <c r="L26" i="57"/>
  <c r="L22" i="63"/>
  <c r="L25" i="58"/>
  <c r="L21" i="61"/>
  <c r="L17" i="64"/>
  <c r="L23" i="64"/>
  <c r="L28" i="54"/>
  <c r="L20" i="56"/>
  <c r="L26" i="60"/>
  <c r="L28" i="61"/>
  <c r="L15" i="64"/>
  <c r="L25" i="55"/>
  <c r="L22" i="57"/>
  <c r="L20" i="59"/>
  <c r="L22" i="64"/>
  <c r="L23" i="57"/>
  <c r="L10" i="58"/>
  <c r="L19" i="58"/>
  <c r="L16" i="60"/>
  <c r="L21" i="63"/>
  <c r="L18" i="54"/>
  <c r="J30" i="61"/>
  <c r="L18" i="57"/>
  <c r="L20" i="58"/>
  <c r="L16" i="59"/>
  <c r="L26" i="55"/>
  <c r="L25" i="56"/>
  <c r="L18" i="56"/>
  <c r="L24" i="56"/>
  <c r="L11" i="57"/>
  <c r="L18" i="60"/>
  <c r="L10" i="64"/>
  <c r="L19" i="64"/>
  <c r="L15" i="56"/>
  <c r="L17" i="56"/>
  <c r="L16" i="57"/>
  <c r="L24" i="59"/>
  <c r="L28" i="59"/>
  <c r="L15" i="61"/>
  <c r="K30" i="63"/>
  <c r="K31" i="63" s="1"/>
  <c r="L31" i="63" s="1"/>
  <c r="L20" i="64"/>
  <c r="L18" i="55"/>
  <c r="L19" i="56"/>
  <c r="L21" i="56"/>
  <c r="L27" i="56"/>
  <c r="L24" i="57"/>
  <c r="K30" i="59"/>
  <c r="K31" i="59" s="1"/>
  <c r="L31" i="59" s="1"/>
  <c r="L25" i="59"/>
  <c r="L27" i="59"/>
  <c r="J30" i="60"/>
  <c r="L24" i="60"/>
  <c r="L16" i="61"/>
  <c r="L16" i="63"/>
  <c r="L20" i="63"/>
  <c r="L28" i="64"/>
  <c r="L11" i="54"/>
  <c r="L15" i="54"/>
  <c r="L17" i="54"/>
  <c r="L19" i="54"/>
  <c r="L23" i="54"/>
  <c r="L25" i="54"/>
  <c r="L27" i="54"/>
  <c r="J30" i="55"/>
  <c r="L17" i="55"/>
  <c r="L19" i="55"/>
  <c r="L11" i="56"/>
  <c r="K30" i="57"/>
  <c r="K31" i="57" s="1"/>
  <c r="L31" i="57" s="1"/>
  <c r="L19" i="57"/>
  <c r="L21" i="57"/>
  <c r="L11" i="59"/>
  <c r="L19" i="60"/>
  <c r="L21" i="60"/>
  <c r="L22" i="61"/>
  <c r="L24" i="61"/>
  <c r="L24" i="63"/>
  <c r="L28" i="63"/>
  <c r="L11" i="64"/>
  <c r="L21" i="64"/>
  <c r="L27" i="64"/>
  <c r="L20" i="54"/>
  <c r="L22" i="55"/>
  <c r="K30" i="64"/>
  <c r="K31" i="64" s="1"/>
  <c r="L31" i="64" s="1"/>
  <c r="L20" i="55"/>
  <c r="L28" i="55"/>
  <c r="L22" i="56"/>
  <c r="L11" i="58"/>
  <c r="L22" i="58"/>
  <c r="L19" i="61"/>
  <c r="L27" i="61"/>
  <c r="L16" i="58"/>
  <c r="K30" i="61"/>
  <c r="K31" i="61" s="1"/>
  <c r="L31" i="61" s="1"/>
  <c r="L10" i="63"/>
  <c r="L13" i="54"/>
  <c r="L21" i="54"/>
  <c r="L15" i="55"/>
  <c r="L17" i="57"/>
  <c r="L25" i="57"/>
  <c r="L15" i="59"/>
  <c r="L23" i="59"/>
  <c r="L17" i="60"/>
  <c r="L22" i="60"/>
  <c r="L25" i="60"/>
  <c r="L11" i="61"/>
  <c r="L17" i="61"/>
  <c r="L25" i="61"/>
  <c r="L11" i="63"/>
  <c r="L17" i="63"/>
  <c r="L19" i="63"/>
  <c r="L25" i="63"/>
  <c r="L27" i="63"/>
  <c r="K30" i="58"/>
  <c r="K31" i="58" s="1"/>
  <c r="L31" i="58" s="1"/>
  <c r="L24" i="58"/>
  <c r="L16" i="64"/>
  <c r="L24" i="64"/>
  <c r="L16" i="54"/>
  <c r="L24" i="54"/>
  <c r="K30" i="55"/>
  <c r="K31" i="55" s="1"/>
  <c r="L31" i="55" s="1"/>
  <c r="L21" i="55"/>
  <c r="J30" i="56"/>
  <c r="L23" i="56"/>
  <c r="L20" i="57"/>
  <c r="L28" i="57"/>
  <c r="L15" i="58"/>
  <c r="L23" i="58"/>
  <c r="L28" i="58"/>
  <c r="L18" i="59"/>
  <c r="L26" i="59"/>
  <c r="L20" i="60"/>
  <c r="L28" i="60"/>
  <c r="L16" i="55"/>
  <c r="L24" i="55"/>
  <c r="K30" i="56"/>
  <c r="K31" i="56" s="1"/>
  <c r="L31" i="56" s="1"/>
  <c r="L16" i="56"/>
  <c r="L26" i="56"/>
  <c r="L18" i="58"/>
  <c r="L26" i="58"/>
  <c r="L10" i="59"/>
  <c r="K30" i="60"/>
  <c r="K31" i="60" s="1"/>
  <c r="L31" i="60" s="1"/>
  <c r="L18" i="61"/>
  <c r="L26" i="61"/>
  <c r="J30" i="63"/>
  <c r="L15" i="63"/>
  <c r="L18" i="64"/>
  <c r="L26" i="64"/>
  <c r="L14" i="54"/>
  <c r="K30" i="54"/>
  <c r="K31" i="54" s="1"/>
  <c r="L31" i="54" s="1"/>
  <c r="J30" i="54"/>
  <c r="J30" i="64"/>
  <c r="L10" i="61"/>
  <c r="L10" i="60"/>
  <c r="J30" i="59"/>
  <c r="J30" i="58"/>
  <c r="J30" i="57"/>
  <c r="L10" i="57"/>
  <c r="L10" i="55"/>
  <c r="L10" i="54"/>
  <c r="L12" i="54"/>
  <c r="L30" i="63" l="1"/>
  <c r="L32" i="63" s="1"/>
  <c r="L33" i="63" s="1"/>
  <c r="L34" i="63" s="1"/>
  <c r="L30" i="55"/>
  <c r="L32" i="55" s="1"/>
  <c r="L33" i="55" s="1"/>
  <c r="L34" i="55" s="1"/>
  <c r="L30" i="64"/>
  <c r="L32" i="64" s="1"/>
  <c r="L30" i="58"/>
  <c r="L30" i="57"/>
  <c r="L32" i="57" s="1"/>
  <c r="L33" i="57" s="1"/>
  <c r="L34" i="57" s="1"/>
  <c r="L30" i="56"/>
  <c r="L32" i="56" s="1"/>
  <c r="L33" i="56" s="1"/>
  <c r="L34" i="56" s="1"/>
  <c r="L33" i="64"/>
  <c r="L34" i="64" s="1"/>
  <c r="L32" i="58"/>
  <c r="L33" i="58" s="1"/>
  <c r="L34" i="58" s="1"/>
  <c r="L30" i="61"/>
  <c r="L32" i="61" s="1"/>
  <c r="L30" i="59"/>
  <c r="L32" i="59" s="1"/>
  <c r="L33" i="59" s="1"/>
  <c r="L34" i="59" s="1"/>
  <c r="L30" i="60"/>
  <c r="L32" i="60" s="1"/>
  <c r="L30" i="54"/>
  <c r="L32" i="54" s="1"/>
  <c r="L33" i="54" s="1"/>
  <c r="L34" i="54" s="1"/>
  <c r="E32" i="1"/>
  <c r="L33" i="61" l="1"/>
  <c r="L34" i="61" s="1"/>
  <c r="L33" i="60"/>
  <c r="L34" i="60" s="1"/>
  <c r="F17" i="7"/>
  <c r="F25" i="1"/>
  <c r="F25" i="7"/>
  <c r="F26" i="7"/>
  <c r="F26" i="1"/>
  <c r="C50" i="8"/>
  <c r="B50" i="8"/>
  <c r="C47" i="8"/>
  <c r="B47" i="8"/>
  <c r="C44" i="8"/>
  <c r="B44" i="8"/>
  <c r="C41" i="8"/>
  <c r="B41" i="8"/>
  <c r="C38" i="8"/>
  <c r="B38" i="8"/>
  <c r="C35" i="8"/>
  <c r="B35" i="8"/>
  <c r="C32" i="8"/>
  <c r="B32" i="8"/>
  <c r="C29" i="8"/>
  <c r="B29" i="8"/>
  <c r="C26" i="8"/>
  <c r="B26" i="8"/>
  <c r="C23" i="8"/>
  <c r="B23" i="8"/>
  <c r="C20" i="8"/>
  <c r="B20" i="8"/>
  <c r="C17" i="8"/>
  <c r="B17" i="8"/>
  <c r="C14" i="8"/>
  <c r="B14" i="8"/>
  <c r="C28" i="7"/>
  <c r="J9" i="7"/>
  <c r="D3" i="6"/>
  <c r="C3" i="6"/>
  <c r="C52" i="5"/>
  <c r="C53" i="5" s="1"/>
  <c r="C54" i="5" s="1"/>
  <c r="C55" i="5" s="1"/>
  <c r="E45" i="5"/>
  <c r="E34" i="5"/>
  <c r="E33" i="5"/>
  <c r="E29" i="5"/>
  <c r="E28" i="5"/>
  <c r="G19" i="5"/>
  <c r="G17" i="5"/>
  <c r="G16" i="5"/>
  <c r="B15" i="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I35" i="3"/>
  <c r="I34" i="3"/>
  <c r="I33" i="3"/>
  <c r="I32" i="3"/>
  <c r="I31" i="3"/>
  <c r="I30" i="3"/>
  <c r="I29" i="3"/>
  <c r="I28" i="3"/>
  <c r="I27" i="3"/>
  <c r="I26" i="3"/>
  <c r="I25" i="3"/>
  <c r="I24" i="3"/>
  <c r="I23" i="3"/>
  <c r="I22" i="3"/>
  <c r="I21" i="3"/>
  <c r="I20" i="3"/>
  <c r="I19" i="3"/>
  <c r="I18" i="3"/>
  <c r="I17" i="3"/>
  <c r="I16" i="3"/>
  <c r="I15" i="3"/>
  <c r="I14" i="3"/>
  <c r="I13" i="3"/>
  <c r="I12" i="3"/>
  <c r="I11" i="3"/>
  <c r="I10" i="3"/>
  <c r="I10" i="2"/>
  <c r="I11" i="2"/>
  <c r="I12" i="2"/>
  <c r="I13" i="2"/>
  <c r="I14" i="2"/>
  <c r="I15" i="2"/>
  <c r="I16" i="2"/>
  <c r="I18" i="2"/>
  <c r="I19" i="2"/>
  <c r="I20" i="2"/>
  <c r="I21" i="2"/>
  <c r="I22" i="2"/>
  <c r="E3" i="6" l="1"/>
  <c r="I24" i="2"/>
  <c r="F14" i="7" s="1"/>
  <c r="K28" i="43"/>
  <c r="L28" i="43" s="1"/>
  <c r="F17" i="1"/>
  <c r="F22" i="1"/>
  <c r="F22" i="7"/>
  <c r="L29" i="43" l="1"/>
  <c r="L30" i="43" s="1"/>
  <c r="L31" i="43" s="1"/>
  <c r="L33" i="43" s="1"/>
  <c r="F14" i="1"/>
  <c r="F23" i="7"/>
  <c r="F23" i="1"/>
  <c r="F21" i="7"/>
  <c r="F21" i="1"/>
  <c r="F20" i="1"/>
  <c r="F20" i="7"/>
  <c r="F19" i="7"/>
  <c r="F19" i="1"/>
  <c r="F18" i="7"/>
  <c r="F18" i="1"/>
  <c r="F16" i="1" l="1"/>
  <c r="F16" i="7"/>
  <c r="F15" i="1"/>
  <c r="F15" i="7"/>
  <c r="F28" i="7" s="1"/>
  <c r="F29" i="7" s="1"/>
  <c r="F32" i="7" l="1"/>
  <c r="F31" i="7"/>
  <c r="F27" i="1"/>
  <c r="F28" i="1" s="1"/>
  <c r="G14" i="7"/>
  <c r="P46" i="7" s="1"/>
  <c r="J41" i="7" s="1"/>
  <c r="F30" i="7"/>
  <c r="F33" i="7" l="1"/>
  <c r="F35" i="7" s="1"/>
  <c r="F29" i="1"/>
  <c r="F30" i="1" s="1"/>
  <c r="F31" i="1" l="1"/>
  <c r="F34" i="1" s="1"/>
  <c r="F34" i="7"/>
  <c r="F36" i="7" s="1"/>
  <c r="J34" i="7" l="1"/>
  <c r="H34" i="7" s="1"/>
  <c r="F37" i="7"/>
  <c r="P9" i="66"/>
  <c r="F39" i="7"/>
  <c r="G31" i="1"/>
  <c r="F42" i="7"/>
  <c r="I36" i="7"/>
  <c r="I35" i="7"/>
  <c r="H33" i="7"/>
  <c r="F37" i="1" l="1"/>
  <c r="O8" i="66"/>
  <c r="O5" i="66"/>
  <c r="O6" i="66"/>
  <c r="O9" i="66"/>
  <c r="Q9" i="66" s="1"/>
  <c r="O7" i="66"/>
  <c r="P8" i="66"/>
  <c r="P6" i="66"/>
  <c r="P5" i="66"/>
  <c r="P7" i="66"/>
  <c r="G33" i="1"/>
  <c r="J36" i="1"/>
  <c r="G14" i="1"/>
  <c r="O41" i="1" s="1"/>
  <c r="J41" i="1" s="1"/>
  <c r="J38" i="1"/>
  <c r="F38" i="1"/>
  <c r="Q8" i="66" l="1"/>
  <c r="Q5" i="66"/>
  <c r="Q7" i="66"/>
  <c r="Q6" i="66"/>
  <c r="Q10" i="66" l="1"/>
  <c r="I35" i="1" l="1"/>
  <c r="H38" i="7"/>
  <c r="F38" i="7"/>
  <c r="F41" i="7" s="1"/>
  <c r="F43" i="7" s="1"/>
  <c r="F35" i="1"/>
  <c r="G37" i="1" s="1"/>
  <c r="F36" i="1" l="1"/>
  <c r="F39" i="1" s="1"/>
  <c r="I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avictors</author>
    <author>A satisfied Microsoft Office user</author>
    <author>The Port Authority of NY &amp; NJ</author>
    <author>Monaco</author>
  </authors>
  <commentList>
    <comment ref="I3" authorId="0" shapeId="0" xr:uid="{00000000-0006-0000-0500-000001000000}">
      <text>
        <r>
          <rPr>
            <b/>
            <sz val="9"/>
            <color indexed="81"/>
            <rFont val="Tahoma"/>
            <family val="2"/>
          </rPr>
          <t>avictors:</t>
        </r>
        <r>
          <rPr>
            <sz val="9"/>
            <color indexed="81"/>
            <rFont val="Tahoma"/>
            <family val="2"/>
          </rPr>
          <t xml:space="preserve">
Turn background RED to note this issue as a DRAFT and for internal Engineering Department use only.</t>
        </r>
      </text>
    </comment>
    <comment ref="D6" authorId="1" shapeId="0" xr:uid="{00000000-0006-0000-0500-000002000000}">
      <text>
        <r>
          <rPr>
            <sz val="8"/>
            <color indexed="81"/>
            <rFont val="Tahoma"/>
            <family val="2"/>
          </rPr>
          <t xml:space="preserve">Input Project Manager's name and phone extension.
</t>
        </r>
      </text>
    </comment>
    <comment ref="F8" authorId="1" shapeId="0" xr:uid="{00000000-0006-0000-0500-000004000000}">
      <text>
        <r>
          <rPr>
            <sz val="8"/>
            <color indexed="81"/>
            <rFont val="Tahoma"/>
            <family val="2"/>
          </rPr>
          <t>Input only for non-capital contract. 
Format example: 401A03 
Always use 401</t>
        </r>
      </text>
    </comment>
    <comment ref="F9" authorId="1" shapeId="0" xr:uid="{00000000-0006-0000-0500-000005000000}">
      <text>
        <r>
          <rPr>
            <sz val="8"/>
            <color indexed="81"/>
            <rFont val="Tahoma"/>
            <family val="2"/>
          </rPr>
          <t xml:space="preserve">Input only for non-capital contract. 
Format example: A03456789.
</t>
        </r>
      </text>
    </comment>
    <comment ref="J9" authorId="2" shapeId="0" xr:uid="{8343D24F-9B4C-48FC-945F-ACF0D29350E6}">
      <text>
        <r>
          <rPr>
            <sz val="8"/>
            <color indexed="81"/>
            <rFont val="Tahoma"/>
            <family val="2"/>
          </rPr>
          <t>Examples:
- Regular hours
- Mostly night time
- Some night time
- Weekends only
- Reduced-hour day</t>
        </r>
      </text>
    </comment>
    <comment ref="F10" authorId="1" shapeId="0" xr:uid="{00000000-0006-0000-0500-000007000000}">
      <text>
        <r>
          <rPr>
            <sz val="8"/>
            <color indexed="81"/>
            <rFont val="Tahoma"/>
            <family val="2"/>
          </rPr>
          <t>Input only for capital contract. Format example:  C401A03456789
Always use 401.</t>
        </r>
      </text>
    </comment>
    <comment ref="G31" authorId="2" shapeId="0" xr:uid="{00000000-0006-0000-0500-000008000000}">
      <text>
        <r>
          <rPr>
            <sz val="8"/>
            <color indexed="81"/>
            <rFont val="Tahoma"/>
            <family val="2"/>
          </rPr>
          <t>Input rounded E.E. here by rounding the amount on left.</t>
        </r>
      </text>
    </comment>
    <comment ref="I31" authorId="2" shapeId="0" xr:uid="{00000000-0006-0000-0500-000009000000}">
      <text>
        <r>
          <rPr>
            <sz val="8"/>
            <color indexed="81"/>
            <rFont val="Tahoma"/>
            <family val="2"/>
          </rPr>
          <t>This cell calculates the overall net cost % of the estimate. For net cost contracts -- Over-write the formula and input % amount here.</t>
        </r>
      </text>
    </comment>
    <comment ref="G32" authorId="3" shapeId="0" xr:uid="{00000000-0006-0000-0500-00000A000000}">
      <text>
        <r>
          <rPr>
            <sz val="8"/>
            <color indexed="81"/>
            <rFont val="Tahoma"/>
            <family val="2"/>
          </rPr>
          <t>Enter the Classified portion of the E.E.</t>
        </r>
      </text>
    </comment>
    <comment ref="G33" authorId="1" shapeId="0" xr:uid="{00000000-0006-0000-0500-00000B000000}">
      <text>
        <r>
          <rPr>
            <sz val="8"/>
            <color indexed="81"/>
            <rFont val="Tahoma"/>
            <family val="2"/>
          </rPr>
          <t xml:space="preserve">This amount  will be automatically calculated once the above Classified amount is entered.
</t>
        </r>
      </text>
    </comment>
    <comment ref="G37" authorId="1" shapeId="0" xr:uid="{00000000-0006-0000-0500-00000C000000}">
      <text>
        <r>
          <rPr>
            <sz val="8"/>
            <color indexed="81"/>
            <rFont val="Tahoma"/>
            <family val="2"/>
          </rPr>
          <t xml:space="preserve">The SAP total equals
E.E. + Net Cost + Extra Work + GC Markup on Net Cost Work
</t>
        </r>
      </text>
    </comment>
    <comment ref="J41" authorId="0" shapeId="0" xr:uid="{EDFDE614-D2DB-464D-AE02-5715817B23FD}">
      <text>
        <r>
          <rPr>
            <b/>
            <sz val="9"/>
            <color indexed="81"/>
            <rFont val="Tahoma"/>
            <family val="2"/>
          </rPr>
          <t>avictors:</t>
        </r>
        <r>
          <rPr>
            <sz val="9"/>
            <color indexed="81"/>
            <rFont val="Tahoma"/>
            <family val="2"/>
          </rPr>
          <t xml:space="preserve">
Formula on master is a placeholder; Estimator to calculate this value - For benefit of MBD, does not affect a contract or budget.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10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11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12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13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14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594C4F69-12FB-48F9-B334-C52FA99D23A5}">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avictors</author>
    <author>A satisfied Microsoft Office user</author>
    <author>The Port Authority of NY &amp; NJ</author>
  </authors>
  <commentList>
    <comment ref="I3" authorId="0" shapeId="0" xr:uid="{00000000-0006-0000-0600-000001000000}">
      <text>
        <r>
          <rPr>
            <b/>
            <sz val="9"/>
            <color indexed="81"/>
            <rFont val="Tahoma"/>
            <family val="2"/>
          </rPr>
          <t>avictors:</t>
        </r>
        <r>
          <rPr>
            <sz val="9"/>
            <color indexed="81"/>
            <rFont val="Tahoma"/>
            <family val="2"/>
          </rPr>
          <t xml:space="preserve">
Turn background RED to note this issue as a DRAFT and for internal Engineering Department use only.</t>
        </r>
      </text>
    </comment>
    <comment ref="F9" authorId="1" shapeId="0" xr:uid="{00000000-0006-0000-0600-000004000000}">
      <text>
        <r>
          <rPr>
            <sz val="8"/>
            <color indexed="81"/>
            <rFont val="Tahoma"/>
            <family val="2"/>
          </rPr>
          <t>Input only for non-capital contract. 
Format example: 401A03 
Always use 401</t>
        </r>
      </text>
    </comment>
    <comment ref="F10" authorId="1" shapeId="0" xr:uid="{00000000-0006-0000-0600-000005000000}">
      <text>
        <r>
          <rPr>
            <sz val="8"/>
            <color indexed="81"/>
            <rFont val="Tahoma"/>
            <family val="2"/>
          </rPr>
          <t xml:space="preserve">Input only for non-capital contract. 
Format example: A03456789.
</t>
        </r>
      </text>
    </comment>
    <comment ref="J10" authorId="2" shapeId="0" xr:uid="{B599296E-7758-43F4-BB58-C36CFB69B28A}">
      <text>
        <r>
          <rPr>
            <sz val="8"/>
            <color indexed="81"/>
            <rFont val="Tahoma"/>
            <family val="2"/>
          </rPr>
          <t>Examples:
- Regular hours
- Mostly night time
- Some night time
- Weekends only
- Reduced-hour day</t>
        </r>
      </text>
    </comment>
    <comment ref="F11" authorId="1" shapeId="0" xr:uid="{00000000-0006-0000-0600-000007000000}">
      <text>
        <r>
          <rPr>
            <sz val="8"/>
            <color indexed="81"/>
            <rFont val="Tahoma"/>
            <family val="2"/>
          </rPr>
          <t>Input only for capital contract. Format example:  C401A03456789
Always use 401.</t>
        </r>
      </text>
    </comment>
    <comment ref="J41" authorId="0" shapeId="0" xr:uid="{A71EBD85-573D-4C25-B781-AA2864071F8F}">
      <text>
        <r>
          <rPr>
            <b/>
            <sz val="9"/>
            <color indexed="81"/>
            <rFont val="Tahoma"/>
            <family val="2"/>
          </rPr>
          <t>avictors:</t>
        </r>
        <r>
          <rPr>
            <sz val="9"/>
            <color indexed="81"/>
            <rFont val="Tahoma"/>
            <family val="2"/>
          </rPr>
          <t xml:space="preserve">
Formula on master is a placeholder; Estimator to calculate this value - For benefit of MBD, does not affect a contract or budget.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9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A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B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C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D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E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DCoffiel</author>
  </authors>
  <commentList>
    <comment ref="M8" authorId="0" shapeId="0" xr:uid="{00000000-0006-0000-0F00-000001000000}">
      <text>
        <r>
          <rPr>
            <sz val="8"/>
            <color indexed="81"/>
            <rFont val="Tahoma"/>
            <family val="2"/>
          </rPr>
          <t>Please indicate any important assumption or basis regarding the quantity or pricing that is needed for an independent reviewer to understand the estimate.  
A typical example might address night-work premium time, a vendor quote, depth buried, restricted work area, re-sale/salvage value, etc.</t>
        </r>
      </text>
    </comment>
  </commentList>
</comments>
</file>

<file path=xl/sharedStrings.xml><?xml version="1.0" encoding="utf-8"?>
<sst xmlns="http://schemas.openxmlformats.org/spreadsheetml/2006/main" count="1018" uniqueCount="396">
  <si>
    <t>Port Authority of NY &amp; NJ -- Engineering Department</t>
  </si>
  <si>
    <t>Project Title:</t>
  </si>
  <si>
    <t>Contract No:</t>
  </si>
  <si>
    <t xml:space="preserve"> Cost Center #:</t>
  </si>
  <si>
    <t xml:space="preserve"> Internal Order #:</t>
  </si>
  <si>
    <t xml:space="preserve"> WBS Element:</t>
  </si>
  <si>
    <t>Total</t>
  </si>
  <si>
    <t>Item</t>
  </si>
  <si>
    <t>Descriptions</t>
  </si>
  <si>
    <t>Dollars</t>
  </si>
  <si>
    <t xml:space="preserve">  Civil</t>
  </si>
  <si>
    <t xml:space="preserve">  Structural</t>
  </si>
  <si>
    <t xml:space="preserve">  Architectural</t>
  </si>
  <si>
    <t xml:space="preserve">  Electrical</t>
  </si>
  <si>
    <t xml:space="preserve">  Environmental</t>
  </si>
  <si>
    <t xml:space="preserve">  Traffic (permanent construction only)</t>
  </si>
  <si>
    <t xml:space="preserve">Sub-Total   </t>
  </si>
  <si>
    <t xml:space="preserve"> Sub-Total   </t>
  </si>
  <si>
    <t xml:space="preserve">      Classified</t>
  </si>
  <si>
    <t xml:space="preserve">      Unclassified (Lump Sum)</t>
  </si>
  <si>
    <t xml:space="preserve">  Net Cost Work</t>
  </si>
  <si>
    <t>SAP Total</t>
  </si>
  <si>
    <t xml:space="preserve">  Extra Work</t>
  </si>
  <si>
    <t xml:space="preserve">  Performance Bond (1% of Rounded EE)</t>
  </si>
  <si>
    <t>Additional Notes:</t>
  </si>
  <si>
    <t xml:space="preserve"> </t>
  </si>
  <si>
    <t xml:space="preserve">Prepared by: </t>
  </si>
  <si>
    <t>Proj. Mgr.:</t>
  </si>
  <si>
    <t xml:space="preserve">Charge No.:  </t>
  </si>
  <si>
    <t>General Conditions Summary Estimate</t>
  </si>
  <si>
    <t xml:space="preserve">           Stage:</t>
  </si>
  <si>
    <t xml:space="preserve">Contract No.: </t>
  </si>
  <si>
    <t xml:space="preserve">           Date:</t>
  </si>
  <si>
    <t>Title:</t>
  </si>
  <si>
    <t>Unit</t>
  </si>
  <si>
    <t>Description</t>
  </si>
  <si>
    <t>Quantity</t>
  </si>
  <si>
    <t>Price</t>
  </si>
  <si>
    <t>Remarks</t>
  </si>
  <si>
    <t>Mobilization &amp; Demobilization</t>
  </si>
  <si>
    <t>Field Supervis'n, Admin. &amp; Maintenance</t>
  </si>
  <si>
    <t>Site Surveys &amp; Testing</t>
  </si>
  <si>
    <t>Temporary Utilities</t>
  </si>
  <si>
    <t>Sidewalk Bridges &amp; Construction Aids</t>
  </si>
  <si>
    <t>Maintenance of Traffic</t>
  </si>
  <si>
    <t>Site Enclosure &amp; Security</t>
  </si>
  <si>
    <t>Temporary Access</t>
  </si>
  <si>
    <t>Field Offices and Sheds</t>
  </si>
  <si>
    <t>Special G.C. Equipment Rentals</t>
  </si>
  <si>
    <t>Total not including Overhead &amp; Profit</t>
  </si>
  <si>
    <t>Net Cost %</t>
  </si>
  <si>
    <t xml:space="preserve">   Work Hours:</t>
  </si>
  <si>
    <t xml:space="preserve">  Fire Protection</t>
  </si>
  <si>
    <t xml:space="preserve"> Cont/Proc Code:</t>
  </si>
  <si>
    <t xml:space="preserve">  General Conditions</t>
  </si>
  <si>
    <t xml:space="preserve">  Electronics</t>
  </si>
  <si>
    <t xml:space="preserve">  Plumbing</t>
  </si>
  <si>
    <t xml:space="preserve">  Geotechnical</t>
  </si>
  <si>
    <t>Comments</t>
  </si>
  <si>
    <t xml:space="preserve">  Mechanical</t>
  </si>
  <si>
    <t xml:space="preserve">   Date</t>
  </si>
  <si>
    <t>Project Manager</t>
  </si>
  <si>
    <t>Date</t>
  </si>
  <si>
    <t>Concurrence:</t>
  </si>
  <si>
    <t>This Engineer's Estimate Summary can be downloaded from EOL - http://eol/home/EngineeringTools/Estimating/tabid/85/Default.aspx</t>
  </si>
  <si>
    <t>Contract No.:</t>
  </si>
  <si>
    <t xml:space="preserve">Discipline:     </t>
  </si>
  <si>
    <t xml:space="preserve">  Sheet:</t>
  </si>
  <si>
    <t>Charge Code:</t>
  </si>
  <si>
    <t>Engineering Department</t>
  </si>
  <si>
    <t xml:space="preserve">Prepared by:  </t>
  </si>
  <si>
    <t xml:space="preserve">  Date:</t>
  </si>
  <si>
    <t>Project Mgr.:</t>
  </si>
  <si>
    <t xml:space="preserve">Checked by:  </t>
  </si>
  <si>
    <t>Consultant Name:</t>
  </si>
  <si>
    <t>Consultant Contact:</t>
  </si>
  <si>
    <t>Item #</t>
  </si>
  <si>
    <t>Unit Price $</t>
  </si>
  <si>
    <t>Total $</t>
  </si>
  <si>
    <t>Assumption / Basis</t>
  </si>
  <si>
    <t>Stage I Cost Estimate</t>
  </si>
  <si>
    <t>Project Mgr:</t>
  </si>
  <si>
    <t>#</t>
  </si>
  <si>
    <t>Material</t>
  </si>
  <si>
    <t>Labor</t>
  </si>
  <si>
    <t xml:space="preserve">         Note: Equipment cost is included under Labor column when a separate column for equipment is not used.</t>
  </si>
  <si>
    <r>
      <t xml:space="preserve">   Prepared by</t>
    </r>
    <r>
      <rPr>
        <sz val="12"/>
        <rFont val="Calibri"/>
        <family val="2"/>
      </rPr>
      <t xml:space="preserve"> </t>
    </r>
    <r>
      <rPr>
        <b/>
        <u/>
        <sz val="11"/>
        <rFont val="Calibri"/>
        <family val="2"/>
      </rPr>
      <t>I</t>
    </r>
    <r>
      <rPr>
        <sz val="10"/>
        <rFont val="Calibri"/>
        <family val="2"/>
      </rPr>
      <t>nHouse/</t>
    </r>
    <r>
      <rPr>
        <b/>
        <u/>
        <sz val="11"/>
        <rFont val="Calibri"/>
        <family val="2"/>
      </rPr>
      <t>C</t>
    </r>
    <r>
      <rPr>
        <sz val="10"/>
        <rFont val="Calibri"/>
        <family val="2"/>
      </rPr>
      <t>onsultant:</t>
    </r>
  </si>
  <si>
    <t>Proj Mgr/ext:</t>
  </si>
  <si>
    <t>Lead Eng/Arch:</t>
  </si>
  <si>
    <r>
      <t>_____</t>
    </r>
    <r>
      <rPr>
        <sz val="12"/>
        <rFont val="Calibri"/>
        <family val="2"/>
      </rPr>
      <t xml:space="preserve"> of </t>
    </r>
    <r>
      <rPr>
        <b/>
        <sz val="12"/>
        <rFont val="Calibri"/>
        <family val="2"/>
      </rPr>
      <t>____</t>
    </r>
  </si>
  <si>
    <r>
      <t>_____</t>
    </r>
    <r>
      <rPr>
        <sz val="10"/>
        <rFont val="Calibri"/>
        <family val="2"/>
      </rPr>
      <t xml:space="preserve"> of </t>
    </r>
    <r>
      <rPr>
        <b/>
        <sz val="10"/>
        <rFont val="Calibri"/>
        <family val="2"/>
      </rPr>
      <t>_____</t>
    </r>
  </si>
  <si>
    <t>DRAFT</t>
  </si>
  <si>
    <t xml:space="preserve">  Engineering Contingency</t>
  </si>
  <si>
    <t xml:space="preserve">  Maintenance of Traffic</t>
  </si>
  <si>
    <t xml:space="preserve">  Gen Contractor Markup on Net Cost Work</t>
  </si>
  <si>
    <t>DATA FIELD</t>
  </si>
  <si>
    <t>Constr Start Date =</t>
  </si>
  <si>
    <t>Constr Compl Date =</t>
  </si>
  <si>
    <t>Escalation % per Yr =</t>
  </si>
  <si>
    <t xml:space="preserve">  GC Overhead &amp; Profit</t>
  </si>
  <si>
    <t>= Engr Contingency</t>
  </si>
  <si>
    <t xml:space="preserve">  Payments to Contractors (Items 18, 21, 22)</t>
  </si>
  <si>
    <t>= Extra Work</t>
  </si>
  <si>
    <t xml:space="preserve">  Total Construction Cost (TCC)</t>
  </si>
  <si>
    <t>A</t>
  </si>
  <si>
    <t>B</t>
  </si>
  <si>
    <t>C</t>
  </si>
  <si>
    <t>D</t>
  </si>
  <si>
    <t>E</t>
  </si>
  <si>
    <t>F</t>
  </si>
  <si>
    <t>G</t>
  </si>
  <si>
    <t>= % of EE</t>
  </si>
  <si>
    <t>= Active Constr in Mo</t>
  </si>
  <si>
    <t>= EE</t>
  </si>
  <si>
    <t>= Net Cost</t>
  </si>
  <si>
    <t>Net Cost Bid Calculation</t>
  </si>
  <si>
    <t>= Net Cost must be Bid?</t>
  </si>
  <si>
    <t>"Clause Work"</t>
  </si>
  <si>
    <t>Engineer's Estimate (EE) ($1000)</t>
  </si>
  <si>
    <t>Net Cost ($1000)</t>
  </si>
  <si>
    <t>EE Category Result</t>
  </si>
  <si>
    <t>Net Cost Category Result</t>
  </si>
  <si>
    <t>FINAL RESULT</t>
  </si>
  <si>
    <t>EE Low Bound</t>
  </si>
  <si>
    <t>EE High Bound</t>
  </si>
  <si>
    <t>EE Category</t>
  </si>
  <si>
    <t>Net Cost Must be Bid When Net Cost Estimate Is:</t>
  </si>
  <si>
    <t>Net Cost Category</t>
  </si>
  <si>
    <t>Greater than 50% of the EE</t>
  </si>
  <si>
    <t>$500k or 25% of the EE, whichever is greater</t>
  </si>
  <si>
    <t>$1.25M or 15% of EE, whichever is greater</t>
  </si>
  <si>
    <t>$1.5M or 10% of EE, whichever is greater</t>
  </si>
  <si>
    <t>$2M+</t>
  </si>
  <si>
    <t xml:space="preserve">  Engineer's Estimate Summary  </t>
  </si>
  <si>
    <t>Estimate Issue Date:</t>
  </si>
  <si>
    <t xml:space="preserve">   Estimate Revision #/  By:</t>
  </si>
  <si>
    <t>SAP Req #:  __________________</t>
  </si>
  <si>
    <t xml:space="preserve">  D-B Preconstruction Services</t>
  </si>
  <si>
    <t>H</t>
  </si>
  <si>
    <t>J</t>
  </si>
  <si>
    <t>K</t>
  </si>
  <si>
    <t>I</t>
  </si>
  <si>
    <t>L</t>
  </si>
  <si>
    <t>M</t>
  </si>
  <si>
    <t>N</t>
  </si>
  <si>
    <t>O</t>
  </si>
  <si>
    <t>T</t>
  </si>
  <si>
    <t>U</t>
  </si>
  <si>
    <t xml:space="preserve">  PA Allow</t>
  </si>
  <si>
    <t>Net Cost Work</t>
  </si>
  <si>
    <t>LD Proj Manager:</t>
  </si>
  <si>
    <t>Bid Date:</t>
  </si>
  <si>
    <t>Extra Work</t>
  </si>
  <si>
    <t>(specify here)</t>
  </si>
  <si>
    <t xml:space="preserve">  Other</t>
  </si>
  <si>
    <t>Sub-Total: Design Builder Construction Cost</t>
  </si>
  <si>
    <t xml:space="preserve">   SAP Requisition #</t>
  </si>
  <si>
    <t xml:space="preserve">  Design-Build Manager</t>
  </si>
  <si>
    <t xml:space="preserve">   Lead Engr/Architect                                    Date</t>
  </si>
  <si>
    <t xml:space="preserve">   Chief Estimator</t>
  </si>
  <si>
    <t>D-B Manager:</t>
  </si>
  <si>
    <t xml:space="preserve"> Contract/Proc Format:</t>
  </si>
  <si>
    <t xml:space="preserve">   NTP, BO Dates and Duration:</t>
  </si>
  <si>
    <t>Design-Build</t>
  </si>
  <si>
    <t>Total Dollars</t>
  </si>
  <si>
    <t xml:space="preserve">  D-B Design Contingency</t>
  </si>
  <si>
    <t xml:space="preserve">  D-B A/E Services, Preliminary</t>
  </si>
  <si>
    <t xml:space="preserve">  D-B A/E Services, Final</t>
  </si>
  <si>
    <t>***   Signatures Required for Issuance to Line Department   ***</t>
  </si>
  <si>
    <t xml:space="preserve">  D-B Contractor Overhead</t>
  </si>
  <si>
    <t xml:space="preserve">  D-B Contractor Profit</t>
  </si>
  <si>
    <t>Total: Design Build Engineer's Estimate (DBEE)</t>
  </si>
  <si>
    <t xml:space="preserve">  Engineer's Estimate (EE)</t>
  </si>
  <si>
    <t xml:space="preserve">  Subcontractor and D-B Contractor Perf Bond</t>
  </si>
  <si>
    <t xml:space="preserve">  Predominant Work Hours:</t>
  </si>
  <si>
    <t>Unclassified</t>
  </si>
  <si>
    <t>Classified</t>
  </si>
  <si>
    <t>Ref %</t>
  </si>
  <si>
    <t>Type</t>
  </si>
  <si>
    <t>Marked Up DBEE</t>
  </si>
  <si>
    <t>= DBEE Avg $/Mo</t>
  </si>
  <si>
    <t>Sub-Total: Direct Construction Cost (DCC)</t>
  </si>
  <si>
    <t xml:space="preserve">  Total: Design-Build Cost (TDBC)</t>
  </si>
  <si>
    <t>***   Signatures are Required for Estimate Issuance to Line Department   ***</t>
  </si>
  <si>
    <t>= Duration Midpoint</t>
  </si>
  <si>
    <t>= % Escl to Midpoint</t>
  </si>
  <si>
    <t xml:space="preserve">  MOT / Maintenance of Traffic</t>
  </si>
  <si>
    <t>Design-Build Estimate format</t>
  </si>
  <si>
    <t xml:space="preserve">Date    </t>
  </si>
  <si>
    <t xml:space="preserve">    _________________________________</t>
  </si>
  <si>
    <t>= % of DCC</t>
  </si>
  <si>
    <t>AAV</t>
  </si>
  <si>
    <t>Definitions of Estimate Markups and Scope Intent</t>
  </si>
  <si>
    <t>This is the cost for the selected Design-Build Contract holder to cover the cost of running his business efforts for the project itself. It does not include General Conditions (item A) or profit.</t>
  </si>
  <si>
    <t>This is the fee, or overall gain to the Design-Build Contract holder, to be paid for performing the contract.</t>
  </si>
  <si>
    <t>This value is the summary of items A thru P. This corresponds to the PA's "Engineer's Estimate" on conventional contracts.</t>
  </si>
  <si>
    <t>The customary PA fund for work identified as Net Cost. This value should be estimated with multiple line items and have an additional markup for the D-B Contractor.</t>
  </si>
  <si>
    <t>This is the cost for performance bonds that guarantee completion by the D-B Contractor. It also includes the cost of subrogated performance bonds from subcontractors that are intended to protect the D-B Contractor in the event of subcontractor default. It is customary industry practice to include this second-tier bonding in contracts (sometimes referred to Subguard Insurance) in order for the D-B Contractor to minimize his own risk.</t>
  </si>
  <si>
    <t>This value is the summary of items A thru T. This corresponds to the PA's "Total Construction Cost (TCC)" on conventional contracts except it includes bonding.</t>
  </si>
  <si>
    <t>This value is the summary of items Q thru R. This corresponds to the PA's "Total Construction Cost (TCC)" on conventional contracts except it does not include bonding.</t>
  </si>
  <si>
    <t>The estimate summary must include additional costs here in order to reflect contract requirements. These "Other" costs could include (but are not limited to) bonus clauses, risk premiums, payments to utility or other firms, permits at various government levels, and the like. Always be clear in the description of what these costs are and include on a seperate tab the calculation basis for these costs. Add lines as appropriate.</t>
  </si>
  <si>
    <t>General notes:</t>
  </si>
  <si>
    <t>The estimate intends to capture Direct Construction Cost (DCC),  Design-Build Engineer's Estimate (DBEE), and Total Design-Build Cost (TDBC). It does NOT intend to capture Total Project Cost (TPC) which has costs that may include the following:</t>
  </si>
  <si>
    <t>Stipends</t>
  </si>
  <si>
    <t>PA Engineering Costs</t>
  </si>
  <si>
    <t>PA Supervision and Administration Costs</t>
  </si>
  <si>
    <t>Cost of Financing</t>
  </si>
  <si>
    <t>Project Contingency</t>
  </si>
  <si>
    <t>Internal PA Permitting via QAD</t>
  </si>
  <si>
    <t>A/E services are intended to include all of the costs to perform a design for the project. In this case, "Preliminary" is intended to include only such services that would complete the design to Schematic Design, or Phase 1 in PA terminology. (This may be further redefined on a contractual basis.) The intent of this step allows the Line Department or other Agency-level decision makers to have severability in the progress of a project. The scope of these services should be established by the PA and verified during the procurement process with RFP responses. Note that costs incurred by the Port Authority are not included in this category; these are part of TPC and are not included in the estimate.</t>
  </si>
  <si>
    <t>NOTE - Written by an estimator, not a lawyer.</t>
  </si>
  <si>
    <t>These costs must be reviewed and included as part of the Total Project Cost.</t>
  </si>
  <si>
    <t xml:space="preserve">Services that are generally reserved for the contractor or builder which do not require specific construction activity. These services could include estimating, scheduling, constructability, site logistics, market research, MWSBE outreach, and any other non-physical, non-design work required for a project. This work may be concurrent with preliminary design as well as later design; the limits to this work are defined by fixed deliverables as well as schedule milestones. </t>
  </si>
  <si>
    <t>Design Contingencies are downside risk allowances that intend to compensate for several different types of changes in the project. These changes can include, but are not limited to, (1) changes in scope of the project that are determined by various needs (including Line Department requests, changes in building codes and engineering practices), (2) changing conditions under which the project will be executed, and public needs; (3) changes in existing site or structure conditions, including those which may have not been fully resolved at earlier stages of design; (4) changes in economic conditions as well as construction marketplace activity; and (5) possible errors that may be disclosed during early design and estimating efforts. For Design-Build contracts, the policies established by the Chief Estimator in the Estimating Manual shall be utilized. However, at the request of the Line Department, the percent of contingency may be adjusted by unanimous decision of a committee to review the project. This committee will consist of a representative of the LD, the Chief of Design, the Chief Estimator, and the Project EOP or Design-Build Manager, or their designees.</t>
  </si>
  <si>
    <t>Design-Build Architectural/Engineering (A/E) services are intended to include all of the costs to perform a design for the project.  In this case, "Final" is defined as the balance of the design for the entire project after completion of the Preliminary design, as well as all subspecialties of design. Construction Administration is included in this portion of the services.</t>
  </si>
  <si>
    <t>FF&amp;E and rolling stock</t>
  </si>
  <si>
    <t>Land/property/rights acquisitions</t>
  </si>
  <si>
    <t>TOTAL:</t>
  </si>
  <si>
    <t xml:space="preserve">         Note: When adding new rows, make sure to copy one of the already formulated rows to ensure formulas are active in the new rows you have created </t>
  </si>
  <si>
    <t>Subtotal:</t>
  </si>
  <si>
    <t>Labor Premiums (define):</t>
  </si>
  <si>
    <t>Define premium conditions in these cells</t>
  </si>
  <si>
    <t>Subcontractor's OH&amp;P:</t>
  </si>
  <si>
    <t>NY</t>
  </si>
  <si>
    <t>NJ</t>
  </si>
  <si>
    <t>BOTH</t>
  </si>
  <si>
    <t>Project Location =</t>
  </si>
  <si>
    <t>= Sub's OH&amp;P</t>
  </si>
  <si>
    <t>Building</t>
  </si>
  <si>
    <t>Non-Building</t>
  </si>
  <si>
    <t>Project Type =</t>
  </si>
  <si>
    <t>Yes</t>
  </si>
  <si>
    <t>No</t>
  </si>
  <si>
    <t>mo</t>
  </si>
  <si>
    <t>Test Item A</t>
  </si>
  <si>
    <t>Test Item B</t>
  </si>
  <si>
    <t>ea</t>
  </si>
  <si>
    <t>Test Item C</t>
  </si>
  <si>
    <t>Test Item D</t>
  </si>
  <si>
    <t>Test Item E</t>
  </si>
  <si>
    <t>Test Item F</t>
  </si>
  <si>
    <t>Test Item G</t>
  </si>
  <si>
    <t>Test Item H</t>
  </si>
  <si>
    <t>Test Item I</t>
  </si>
  <si>
    <t>Test Item J</t>
  </si>
  <si>
    <t>Test Item K</t>
  </si>
  <si>
    <t>Test Item L</t>
  </si>
  <si>
    <t>Test Item M</t>
  </si>
  <si>
    <t>Test Item N</t>
  </si>
  <si>
    <t>Test Item O</t>
  </si>
  <si>
    <t>Test Item P</t>
  </si>
  <si>
    <t>Test Item Q</t>
  </si>
  <si>
    <t>Test Item R</t>
  </si>
  <si>
    <t>Test Item S</t>
  </si>
  <si>
    <t>Test Item T</t>
  </si>
  <si>
    <t>Test Item U</t>
  </si>
  <si>
    <t>Test Item V</t>
  </si>
  <si>
    <t>Test Item W</t>
  </si>
  <si>
    <t>Test Item X</t>
  </si>
  <si>
    <t xml:space="preserve">   Design-Build Engineer's Estimate Summary   </t>
  </si>
  <si>
    <t>Staff SWAC</t>
  </si>
  <si>
    <t>Verify not double-counted on summary.</t>
  </si>
  <si>
    <t>and SETUP of ESTIMATE DATA</t>
  </si>
  <si>
    <t>ESTIMATE INSTRUCTIONS</t>
  </si>
  <si>
    <t xml:space="preserve">    EOD Estimator                                   Date</t>
  </si>
  <si>
    <t xml:space="preserve">    EOD Estimator                          Date</t>
  </si>
  <si>
    <t>Net Cost Summary Estimate</t>
  </si>
  <si>
    <t xml:space="preserve">         Note: Equipment cost is included under Material column when a separate column for equipment is not used.</t>
  </si>
  <si>
    <t>Refer to the "INSTRUCTIONS and DATA" tab of this file for an explanation of cell calculations and their content.</t>
  </si>
  <si>
    <t>Have Net Cost Est?</t>
  </si>
  <si>
    <t>= Sch Constr Dur Mo</t>
  </si>
  <si>
    <r>
      <t xml:space="preserve">* Note: Lighter Cells that are the in </t>
    </r>
    <r>
      <rPr>
        <b/>
        <sz val="10"/>
        <rFont val="Calibri"/>
        <family val="2"/>
        <scheme val="minor"/>
      </rPr>
      <t>Data Field</t>
    </r>
    <r>
      <rPr>
        <sz val="10"/>
        <rFont val="Calibri"/>
        <family val="2"/>
        <scheme val="minor"/>
      </rPr>
      <t xml:space="preserve"> have formula's that should not be erased. Darker Cells require manual input </t>
    </r>
  </si>
  <si>
    <t>^^ EE Avg $/Mo ^^</t>
  </si>
  <si>
    <t>^^ EE $ per Unit ^^</t>
  </si>
  <si>
    <t>Test 1</t>
  </si>
  <si>
    <t>Test 2</t>
  </si>
  <si>
    <t xml:space="preserve">          Prepared Date:</t>
  </si>
  <si>
    <t>Checked By:</t>
  </si>
  <si>
    <t>Rounded EE Use:</t>
  </si>
  <si>
    <t xml:space="preserve">   Lead Engr/Architect                              Date</t>
  </si>
  <si>
    <t>= Net Cost % Default</t>
  </si>
  <si>
    <t xml:space="preserve"> Project ID #:</t>
  </si>
  <si>
    <t>EE High</t>
  </si>
  <si>
    <t>EE Low</t>
  </si>
  <si>
    <t>NetCost Qualified</t>
  </si>
  <si>
    <t>EE Qualified</t>
  </si>
  <si>
    <t>Final Qualified</t>
  </si>
  <si>
    <t>based on =</t>
  </si>
  <si>
    <t>Test Indicator =</t>
  </si>
  <si>
    <t>When adding space to an estimate, ALWAYS copy the line above and insert it as many times as you need.</t>
  </si>
  <si>
    <t>Copy the cells from the full row or column, not just the area you need. There are hidden cells and formats in the cells,</t>
  </si>
  <si>
    <t>Markup on NC Work</t>
  </si>
  <si>
    <t>= DBEE Cost/Unit</t>
  </si>
  <si>
    <t>Clearly identify items which are Classified versus Unclassified in the detail of the estimate.</t>
  </si>
  <si>
    <t>While this file calculates Design-Build and Design-Bid-Build at the same time, there are many other cost influences and</t>
  </si>
  <si>
    <t xml:space="preserve">changes that need to be considered for a correct budget. Do NOT issue the summaries as comparisons between the </t>
  </si>
  <si>
    <t>GASB 49 Value for MBD =</t>
  </si>
  <si>
    <t>= Contract Type</t>
  </si>
  <si>
    <t>Public Adv</t>
  </si>
  <si>
    <t>PQL</t>
  </si>
  <si>
    <t>SBE</t>
  </si>
  <si>
    <t>VVP</t>
  </si>
  <si>
    <t>(Other)</t>
  </si>
  <si>
    <t>Input info in darker cells, will carry thru summary; Use drop-down selections</t>
  </si>
  <si>
    <r>
      <t xml:space="preserve">plus the ranges need to be included in added area. </t>
    </r>
    <r>
      <rPr>
        <b/>
        <i/>
        <u val="double"/>
        <sz val="10"/>
        <rFont val="Calibri"/>
        <family val="2"/>
        <scheme val="minor"/>
      </rPr>
      <t>NEVER</t>
    </r>
    <r>
      <rPr>
        <i/>
        <u/>
        <sz val="10"/>
        <rFont val="Calibri"/>
        <family val="2"/>
        <scheme val="minor"/>
      </rPr>
      <t xml:space="preserve"> insert blank cells!</t>
    </r>
  </si>
  <si>
    <t>PACC</t>
  </si>
  <si>
    <t>Work Order</t>
  </si>
  <si>
    <t>P</t>
  </si>
  <si>
    <t>Q.1</t>
  </si>
  <si>
    <t>Q.2</t>
  </si>
  <si>
    <t>Q.3</t>
  </si>
  <si>
    <t>Q.4</t>
  </si>
  <si>
    <t>Q.5</t>
  </si>
  <si>
    <t>Q.6</t>
  </si>
  <si>
    <t>R</t>
  </si>
  <si>
    <t>S.1</t>
  </si>
  <si>
    <t>S.2</t>
  </si>
  <si>
    <t>S.3</t>
  </si>
  <si>
    <t>S.4</t>
  </si>
  <si>
    <t>V</t>
  </si>
  <si>
    <t xml:space="preserve">  Construction Allowances</t>
  </si>
  <si>
    <t>Refer to detailed list/tab</t>
  </si>
  <si>
    <r>
      <t xml:space="preserve">   Prepared by</t>
    </r>
    <r>
      <rPr>
        <sz val="12"/>
        <rFont val="Calibri"/>
        <family val="2"/>
        <scheme val="minor"/>
      </rPr>
      <t xml:space="preserve"> </t>
    </r>
    <r>
      <rPr>
        <b/>
        <u/>
        <sz val="11"/>
        <rFont val="Calibri"/>
        <family val="2"/>
        <scheme val="minor"/>
      </rPr>
      <t>I</t>
    </r>
    <r>
      <rPr>
        <sz val="10"/>
        <rFont val="Calibri"/>
        <family val="2"/>
        <scheme val="minor"/>
      </rPr>
      <t>nHouse/</t>
    </r>
    <r>
      <rPr>
        <b/>
        <u/>
        <sz val="11"/>
        <rFont val="Calibri"/>
        <family val="2"/>
        <scheme val="minor"/>
      </rPr>
      <t>C</t>
    </r>
    <r>
      <rPr>
        <sz val="10"/>
        <rFont val="Calibri"/>
        <family val="2"/>
        <scheme val="minor"/>
      </rPr>
      <t>onsultant:</t>
    </r>
  </si>
  <si>
    <t>IMPORTANT ESTIMATE/BUDGET NOTES:</t>
  </si>
  <si>
    <t>Other permitting, EIS or ULURP costs</t>
  </si>
  <si>
    <r>
      <t xml:space="preserve">   Prepared by </t>
    </r>
    <r>
      <rPr>
        <b/>
        <u/>
        <sz val="8"/>
        <rFont val="Calibri"/>
        <family val="2"/>
        <scheme val="minor"/>
      </rPr>
      <t>I</t>
    </r>
    <r>
      <rPr>
        <sz val="8"/>
        <rFont val="Calibri"/>
        <family val="2"/>
        <scheme val="minor"/>
      </rPr>
      <t>nHouse/</t>
    </r>
    <r>
      <rPr>
        <b/>
        <u/>
        <sz val="8"/>
        <rFont val="Calibri"/>
        <family val="2"/>
        <scheme val="minor"/>
      </rPr>
      <t>C</t>
    </r>
    <r>
      <rPr>
        <sz val="8"/>
        <rFont val="Calibri"/>
        <family val="2"/>
        <scheme val="minor"/>
      </rPr>
      <t>onsultant:</t>
    </r>
  </si>
  <si>
    <t>(specify)</t>
  </si>
  <si>
    <t>LD Proj Mgr:</t>
  </si>
  <si>
    <t>D-B Mgr:</t>
  </si>
  <si>
    <t>Never delete or over-write formulas. Ever.</t>
  </si>
  <si>
    <t>DO NOT MOVE, CHANGE OR DELETE THIS BOX!</t>
  </si>
  <si>
    <t xml:space="preserve">Gen Contractor Markup Determination for Net Cost </t>
  </si>
  <si>
    <t>Test 0</t>
  </si>
  <si>
    <t>Prior Estimate (Date)</t>
  </si>
  <si>
    <t>Delta</t>
  </si>
  <si>
    <t>Explanation</t>
  </si>
  <si>
    <t>Refer to the "INSTRUCTIONS and DATA" tab of this file for an explanation of auto calculations and content, and "DB Definitions" tab for meaning and inclusion.</t>
  </si>
  <si>
    <t xml:space="preserve">  Construction Allowances </t>
  </si>
  <si>
    <t xml:space="preserve">General Conditions (or Provisions) are in essence similar to Design-Build in that they cover all the resources, tools, and equipment needed to build a project, but not directly related to the physical construction activities, that a Design-Builder is entitled to be compensated for. As Design-Builders take on more responsibility for designing, managing and building the work, it is sometimes useful to consider breaking out certain elements - if not in the estimate, then certainly in the schedule of values as it is developed. Design and Preconstruction services are highlighted in lines Q.2, Q.3 and Q.4. Other activities that may be beneficial to break out of the General Provisions as the schedule of values is developed for pricing include mobilization payments (typically 1-3% depending on the nature of the project), specific project insurances, costs of co-located office spaces, partnering/collaboration workshops including Value Engineering, Design-Builder QA/QC activities, A/EoR construction administration activities, and production of O&amp;M/Record Information. This will give the PA transparency of cost, ability to control payments, and reassurance that adequate resources have been allocated to these important activities that might not be ordinarily required for Design-Bid-Build projects    </t>
  </si>
  <si>
    <t>Civil Work - Classified</t>
  </si>
  <si>
    <t>Civil Work - Unclassified</t>
  </si>
  <si>
    <t>Test Item C1</t>
  </si>
  <si>
    <t>Test Item D1</t>
  </si>
  <si>
    <t>Structural</t>
  </si>
  <si>
    <t>Architectural</t>
  </si>
  <si>
    <t>Mechanical</t>
  </si>
  <si>
    <t>Plumbing</t>
  </si>
  <si>
    <t>Fire Protection</t>
  </si>
  <si>
    <t>Electrical</t>
  </si>
  <si>
    <t>Electronics</t>
  </si>
  <si>
    <t>Geotechnical</t>
  </si>
  <si>
    <t>Traffic (Permanent)</t>
  </si>
  <si>
    <t>Construction Allowances (for Design-Build)</t>
  </si>
  <si>
    <t>Test Item Y</t>
  </si>
  <si>
    <t>Test Item Z</t>
  </si>
  <si>
    <t>Must include and describe in item detail</t>
  </si>
  <si>
    <t>ls</t>
  </si>
  <si>
    <t xml:space="preserve">Risk Assessment and allocation is a key part of any Design-Build contract. Project contingencies shall be held for specific risks and unknowns. Where the Design-Builder is responsible for the design, management and implementation of these risk items and the PA wishes to be transparent about the pricing and payment of such, allowances shall be included within the direct costs to reflect these items. Examples might include removal of hazardous materials where quantities are unknown, quantities and pricing of work generally defined late in design such as door hardware, or pricing of FFE items where final product selections/quantites are not known due to Line Department or technological change. Allowances shall be allocated against specific work items and estimated with stated assumptions and, as direct cost, which are marked up by the Design-Builder on the summary sheet.   </t>
  </si>
  <si>
    <t>The customary PA fund for work identified as Extra Work. This corresponds to industry standard terminology for a Construction Contingency and be itemized/configured to provide for funds for unknowns and for risk items that are outside of the Design-Builder's control. This value should be estimated as an allowance and be inclusive of markup for the D-B Contractor.</t>
  </si>
  <si>
    <t>Engineering</t>
  </si>
  <si>
    <t>Department</t>
  </si>
  <si>
    <t>Design Estimate - All Stages</t>
  </si>
  <si>
    <t>= Project Unit of Measure (GSF, camera count, etc)</t>
  </si>
  <si>
    <r>
      <rPr>
        <b/>
        <i/>
        <sz val="14"/>
        <color rgb="FFFF0000"/>
        <rFont val="Calibri"/>
        <family val="2"/>
        <scheme val="minor"/>
      </rPr>
      <t>NOTICE!</t>
    </r>
    <r>
      <rPr>
        <b/>
        <i/>
        <sz val="12"/>
        <rFont val="Calibri"/>
        <family val="2"/>
        <scheme val="minor"/>
      </rPr>
      <t xml:space="preserve"> </t>
    </r>
    <r>
      <rPr>
        <b/>
        <i/>
        <u/>
        <sz val="12"/>
        <rFont val="Calibri"/>
        <family val="2"/>
        <scheme val="minor"/>
      </rPr>
      <t>Read This First</t>
    </r>
    <r>
      <rPr>
        <b/>
        <i/>
        <sz val="12"/>
        <rFont val="Calibri"/>
        <family val="2"/>
        <scheme val="minor"/>
      </rPr>
      <t xml:space="preserve"> and Prefill the information in the Data Field Green Boxes per the instructions below!</t>
    </r>
  </si>
  <si>
    <t>Compliance and the correct use of this spreadsheet saves YOU time and makes a more accurate estimate!</t>
  </si>
  <si>
    <t>The person doing the estimate must always input data into green cells, indicated like this:</t>
  </si>
  <si>
    <t>The Estimators will assist with sorting these items on the summary sheet.</t>
  </si>
  <si>
    <t>This estimate is not to be disseminated outside of the Port Authority or consultants invoved in this specific project.</t>
  </si>
  <si>
    <t>Estimate (Today's) Date =</t>
  </si>
  <si>
    <t>Do NOT delete this page!</t>
  </si>
  <si>
    <t>contract types without review and verification from the Estimating Unit and the Design-Build team leadership.</t>
  </si>
  <si>
    <t>Line Department:</t>
  </si>
  <si>
    <t>TB&amp;T</t>
  </si>
  <si>
    <t>PATH</t>
  </si>
  <si>
    <t>WTC</t>
  </si>
  <si>
    <t>Aviation</t>
  </si>
  <si>
    <t>Ports</t>
  </si>
  <si>
    <t>TCC Composite Markups =</t>
  </si>
  <si>
    <t>GASB 49 value is an internal estimate of asbestos abatement costs, disposal of hazardous materials, and composite of all markups.</t>
  </si>
  <si>
    <t>Subtotal - Classified:</t>
  </si>
  <si>
    <t>TOTAL CLASSIFIED:</t>
  </si>
  <si>
    <t>Subtotal - Unclassified:</t>
  </si>
  <si>
    <t>TOTAL - UNCLASSIFIED:</t>
  </si>
  <si>
    <t>TOTAL - ALL CIVIL:</t>
  </si>
  <si>
    <t>Estimating will sort classified/unclassified on summary.</t>
  </si>
  <si>
    <t>Environmental Work - Unclassified</t>
  </si>
  <si>
    <t>Environmental Work - Classified</t>
  </si>
  <si>
    <t>TOTAL - ALL ENVIRONMENTAL:</t>
  </si>
  <si>
    <t>08/20 to 06/23, 35 mo</t>
  </si>
  <si>
    <t>Net Cost Conv</t>
  </si>
  <si>
    <t>Neg PQL</t>
  </si>
  <si>
    <t xml:space="preserve">   Construction Start-Finish-Duration:</t>
  </si>
  <si>
    <t>Ver 1.1</t>
  </si>
  <si>
    <t>Calculated from estimate date to midpoint of construction</t>
  </si>
  <si>
    <t>Stage / % Compl:</t>
  </si>
  <si>
    <t>* Note: Always click in the cell that contains a dropdown list. Again, don't delete or overwrite formulas, 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</si>
</sst>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0;;@"/>
    <numFmt numFmtId="168" formatCode="0.0%"/>
    <numFmt numFmtId="169" formatCode="[$-409]d\-mmm\-yy;@"/>
    <numFmt numFmtId="170" formatCode="0.000%"/>
    <numFmt numFmtId="171" formatCode="[$$-409]#,##0_);\([$$-409]#,##0\)"/>
    <numFmt numFmtId="172" formatCode="[$$-409]#,##0.00_);\([$$-409]#,##0.00\)"/>
    <numFmt numFmtId="173" formatCode="0.0"/>
    <numFmt numFmtId="174" formatCode="[$-409]dd\-mmm\-yy;@"/>
    <numFmt numFmtId="175" formatCode="[$-409]d\-mmm\-yyyy;@"/>
  </numFmts>
  <fonts count="52" x14ac:knownFonts="1">
    <font>
      <sz val="10"/>
      <name val="Arial"/>
    </font>
    <font>
      <sz val="11"/>
      <color theme="1"/>
      <name val="Calibri"/>
      <family val="2"/>
      <scheme val="minor"/>
    </font>
    <font>
      <sz val="10"/>
      <name val="Arial"/>
      <family val="2"/>
    </font>
    <font>
      <sz val="8"/>
      <color indexed="81"/>
      <name val="Tahoma"/>
      <family val="2"/>
    </font>
    <font>
      <sz val="9"/>
      <color indexed="81"/>
      <name val="Tahoma"/>
      <family val="2"/>
    </font>
    <font>
      <b/>
      <sz val="9"/>
      <color indexed="81"/>
      <name val="Tahoma"/>
      <family val="2"/>
    </font>
    <font>
      <sz val="10"/>
      <name val="Calibri"/>
      <family val="2"/>
    </font>
    <font>
      <b/>
      <sz val="12"/>
      <name val="Calibri"/>
      <family val="2"/>
    </font>
    <font>
      <b/>
      <sz val="10"/>
      <name val="Calibri"/>
      <family val="2"/>
    </font>
    <font>
      <sz val="12"/>
      <name val="Calibri"/>
      <family val="2"/>
    </font>
    <font>
      <b/>
      <u/>
      <sz val="11"/>
      <name val="Calibri"/>
      <family val="2"/>
    </font>
    <font>
      <sz val="14"/>
      <name val="Arial"/>
      <family val="2"/>
    </font>
    <font>
      <sz val="11"/>
      <name val="Calibri"/>
      <family val="2"/>
    </font>
    <font>
      <sz val="10"/>
      <name val="Calibri"/>
      <family val="2"/>
      <scheme val="minor"/>
    </font>
    <font>
      <b/>
      <sz val="14"/>
      <name val="Calibri"/>
      <family val="2"/>
      <scheme val="minor"/>
    </font>
    <font>
      <b/>
      <sz val="10"/>
      <name val="Calibri"/>
      <family val="2"/>
      <scheme val="minor"/>
    </font>
    <font>
      <sz val="9"/>
      <name val="Calibri"/>
      <family val="2"/>
      <scheme val="minor"/>
    </font>
    <font>
      <sz val="8"/>
      <name val="Calibri"/>
      <family val="2"/>
      <scheme val="minor"/>
    </font>
    <font>
      <b/>
      <sz val="12"/>
      <name val="Calibri"/>
      <family val="2"/>
      <scheme val="minor"/>
    </font>
    <font>
      <sz val="12"/>
      <name val="Calibri"/>
      <family val="2"/>
      <scheme val="minor"/>
    </font>
    <font>
      <sz val="11"/>
      <name val="Calibri"/>
      <family val="2"/>
      <scheme val="minor"/>
    </font>
    <font>
      <b/>
      <sz val="11"/>
      <name val="Calibri"/>
      <family val="2"/>
      <scheme val="minor"/>
    </font>
    <font>
      <b/>
      <i/>
      <u/>
      <sz val="14"/>
      <name val="Calibri"/>
      <family val="2"/>
      <scheme val="minor"/>
    </font>
    <font>
      <u/>
      <sz val="10"/>
      <name val="Calibri"/>
      <family val="2"/>
      <scheme val="minor"/>
    </font>
    <font>
      <b/>
      <i/>
      <sz val="10"/>
      <name val="Calibri"/>
      <family val="2"/>
      <scheme val="minor"/>
    </font>
    <font>
      <sz val="14"/>
      <color theme="0"/>
      <name val="Wide Latin"/>
      <family val="1"/>
    </font>
    <font>
      <sz val="12"/>
      <color indexed="56"/>
      <name val="Calibri"/>
      <family val="2"/>
      <scheme val="minor"/>
    </font>
    <font>
      <sz val="10"/>
      <color indexed="56"/>
      <name val="Calibri"/>
      <family val="2"/>
      <scheme val="minor"/>
    </font>
    <font>
      <sz val="10"/>
      <color rgb="FFFF0000"/>
      <name val="Calibri"/>
      <family val="2"/>
      <scheme val="minor"/>
    </font>
    <font>
      <sz val="10"/>
      <color theme="0"/>
      <name val="Calibri"/>
      <family val="2"/>
      <scheme val="minor"/>
    </font>
    <font>
      <b/>
      <i/>
      <sz val="12"/>
      <name val="Calibri"/>
      <family val="2"/>
      <scheme val="minor"/>
    </font>
    <font>
      <b/>
      <i/>
      <u/>
      <sz val="12"/>
      <name val="Calibri"/>
      <family val="2"/>
      <scheme val="minor"/>
    </font>
    <font>
      <b/>
      <i/>
      <sz val="14"/>
      <color rgb="FFFF0000"/>
      <name val="Calibri"/>
      <family val="2"/>
      <scheme val="minor"/>
    </font>
    <font>
      <b/>
      <sz val="8"/>
      <color rgb="FFFF0000"/>
      <name val="Calibri"/>
      <family val="2"/>
      <scheme val="minor"/>
    </font>
    <font>
      <sz val="11"/>
      <color theme="0"/>
      <name val="Calibri"/>
      <family val="2"/>
      <scheme val="minor"/>
    </font>
    <font>
      <sz val="10"/>
      <color theme="1"/>
      <name val="Calibri"/>
      <family val="2"/>
      <scheme val="minor"/>
    </font>
    <font>
      <b/>
      <sz val="8"/>
      <name val="Calibri"/>
      <family val="2"/>
      <scheme val="minor"/>
    </font>
    <font>
      <i/>
      <u/>
      <sz val="10"/>
      <name val="Calibri"/>
      <family val="2"/>
      <scheme val="minor"/>
    </font>
    <font>
      <sz val="8"/>
      <name val="Arial"/>
      <family val="2"/>
    </font>
    <font>
      <b/>
      <sz val="10"/>
      <color rgb="FFC00000"/>
      <name val="Calibri"/>
      <family val="2"/>
      <scheme val="minor"/>
    </font>
    <font>
      <b/>
      <i/>
      <u val="double"/>
      <sz val="10"/>
      <name val="Calibri"/>
      <family val="2"/>
      <scheme val="minor"/>
    </font>
    <font>
      <sz val="8"/>
      <color rgb="FFFF0000"/>
      <name val="Calibri"/>
      <family val="2"/>
      <scheme val="minor"/>
    </font>
    <font>
      <sz val="14"/>
      <name val="Calibri"/>
      <family val="2"/>
      <scheme val="minor"/>
    </font>
    <font>
      <sz val="14"/>
      <color theme="0"/>
      <name val="Calibri"/>
      <family val="2"/>
      <scheme val="minor"/>
    </font>
    <font>
      <b/>
      <u/>
      <sz val="11"/>
      <name val="Calibri"/>
      <family val="2"/>
      <scheme val="minor"/>
    </font>
    <font>
      <b/>
      <i/>
      <sz val="8"/>
      <name val="Calibri"/>
      <family val="2"/>
      <scheme val="minor"/>
    </font>
    <font>
      <b/>
      <u/>
      <sz val="8"/>
      <name val="Calibri"/>
      <family val="2"/>
      <scheme val="minor"/>
    </font>
    <font>
      <b/>
      <i/>
      <sz val="12"/>
      <color rgb="FFFF0000"/>
      <name val="Calibri"/>
      <family val="2"/>
      <scheme val="minor"/>
    </font>
    <font>
      <b/>
      <i/>
      <sz val="16"/>
      <color rgb="FFFF0000"/>
      <name val="Calibri"/>
      <family val="2"/>
      <scheme val="minor"/>
    </font>
    <font>
      <sz val="12"/>
      <color theme="3"/>
      <name val="Calibri"/>
      <family val="2"/>
      <scheme val="minor"/>
    </font>
    <font>
      <b/>
      <sz val="10"/>
      <color theme="3"/>
      <name val="Calibri"/>
      <family val="2"/>
      <scheme val="minor"/>
    </font>
    <font>
      <sz val="14"/>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6" tint="0.79998168889431442"/>
        <bgColor indexed="64"/>
      </patternFill>
    </fill>
  </fills>
  <borders count="6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456">
    <xf numFmtId="0" fontId="0" fillId="0" borderId="0" xfId="0"/>
    <xf numFmtId="0" fontId="13" fillId="0" borderId="0" xfId="0" applyFont="1"/>
    <xf numFmtId="0" fontId="14" fillId="0" borderId="0" xfId="0" applyFont="1" applyAlignment="1">
      <alignment horizontal="center"/>
    </xf>
    <xf numFmtId="0" fontId="13" fillId="0" borderId="1" xfId="0" applyFont="1" applyBorder="1" applyAlignment="1" applyProtection="1">
      <alignment horizontal="center"/>
      <protection locked="0"/>
    </xf>
    <xf numFmtId="0" fontId="13" fillId="0" borderId="0" xfId="0" applyFont="1" applyProtection="1">
      <protection locked="0"/>
    </xf>
    <xf numFmtId="0" fontId="13" fillId="2" borderId="1" xfId="0" applyFont="1" applyFill="1" applyBorder="1" applyAlignment="1" applyProtection="1">
      <alignment horizontal="center"/>
      <protection locked="0"/>
    </xf>
    <xf numFmtId="0" fontId="13" fillId="0" borderId="0" xfId="0" applyFont="1" applyAlignment="1">
      <alignment horizontal="left"/>
    </xf>
    <xf numFmtId="0" fontId="13" fillId="0" borderId="2" xfId="0" applyFont="1" applyBorder="1" applyAlignment="1" applyProtection="1">
      <alignment horizontal="centerContinuous"/>
      <protection locked="0"/>
    </xf>
    <xf numFmtId="0" fontId="13" fillId="0" borderId="1" xfId="0" applyFont="1" applyBorder="1" applyAlignment="1" applyProtection="1">
      <alignment horizontal="left"/>
      <protection locked="0"/>
    </xf>
    <xf numFmtId="0" fontId="13" fillId="2" borderId="2" xfId="0" applyFont="1" applyFill="1" applyBorder="1" applyAlignment="1" applyProtection="1">
      <alignment horizontal="center"/>
      <protection locked="0"/>
    </xf>
    <xf numFmtId="0" fontId="13" fillId="0" borderId="2" xfId="0" applyFont="1" applyBorder="1" applyAlignment="1" applyProtection="1">
      <alignment horizontal="center"/>
      <protection locked="0"/>
    </xf>
    <xf numFmtId="0" fontId="15" fillId="0" borderId="1"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4" xfId="0" applyFont="1" applyBorder="1" applyAlignment="1">
      <alignment horizontal="centerContinuous"/>
    </xf>
    <xf numFmtId="0" fontId="13" fillId="0" borderId="4" xfId="0" applyFont="1" applyBorder="1"/>
    <xf numFmtId="0" fontId="13" fillId="0" borderId="8" xfId="0" applyFont="1" applyBorder="1"/>
    <xf numFmtId="0" fontId="15" fillId="0" borderId="9" xfId="0" applyFont="1" applyBorder="1" applyAlignment="1">
      <alignment horizontal="center"/>
    </xf>
    <xf numFmtId="0" fontId="15" fillId="0" borderId="10"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164" fontId="15" fillId="0" borderId="1" xfId="2" applyNumberFormat="1" applyFont="1" applyBorder="1"/>
    <xf numFmtId="164" fontId="13" fillId="0" borderId="13" xfId="2" applyNumberFormat="1" applyFont="1" applyBorder="1"/>
    <xf numFmtId="0" fontId="13" fillId="0" borderId="14" xfId="0" applyFont="1" applyBorder="1" applyAlignment="1">
      <alignment horizontal="center"/>
    </xf>
    <xf numFmtId="0" fontId="13" fillId="0" borderId="15" xfId="0" applyFont="1" applyBorder="1"/>
    <xf numFmtId="0" fontId="13" fillId="0" borderId="2" xfId="0" applyFont="1" applyBorder="1"/>
    <xf numFmtId="0" fontId="13" fillId="0" borderId="16" xfId="0" applyFont="1" applyBorder="1"/>
    <xf numFmtId="0" fontId="13" fillId="0" borderId="17" xfId="0" applyFont="1" applyBorder="1"/>
    <xf numFmtId="0" fontId="13" fillId="0" borderId="18" xfId="0" applyFont="1" applyBorder="1" applyAlignment="1">
      <alignment horizontal="center"/>
    </xf>
    <xf numFmtId="0" fontId="13" fillId="0" borderId="19" xfId="0" applyFont="1" applyBorder="1"/>
    <xf numFmtId="0" fontId="13" fillId="0" borderId="20" xfId="0" applyFont="1" applyBorder="1"/>
    <xf numFmtId="0" fontId="13" fillId="0" borderId="21" xfId="0" applyFont="1" applyBorder="1"/>
    <xf numFmtId="0" fontId="16" fillId="0" borderId="15" xfId="0" applyFont="1" applyBorder="1" applyAlignment="1">
      <alignment horizontal="right"/>
    </xf>
    <xf numFmtId="0" fontId="15" fillId="0" borderId="16" xfId="0" applyFont="1" applyBorder="1" applyAlignment="1">
      <alignment horizontal="right"/>
    </xf>
    <xf numFmtId="164" fontId="13" fillId="0" borderId="0" xfId="2" applyNumberFormat="1" applyFont="1" applyAlignment="1">
      <alignment horizontal="centerContinuous"/>
    </xf>
    <xf numFmtId="164" fontId="13" fillId="0" borderId="0" xfId="2" applyNumberFormat="1" applyFont="1"/>
    <xf numFmtId="0" fontId="13" fillId="0" borderId="15" xfId="0" applyFont="1" applyBorder="1" applyProtection="1">
      <protection locked="0"/>
    </xf>
    <xf numFmtId="0" fontId="13" fillId="0" borderId="2" xfId="0" applyFont="1" applyBorder="1" applyProtection="1">
      <protection locked="0"/>
    </xf>
    <xf numFmtId="0" fontId="13" fillId="0" borderId="16" xfId="0" applyFont="1" applyBorder="1" applyProtection="1">
      <protection locked="0"/>
    </xf>
    <xf numFmtId="164" fontId="15" fillId="0" borderId="0" xfId="2" applyNumberFormat="1" applyFont="1" applyAlignment="1">
      <alignment horizontal="left"/>
    </xf>
    <xf numFmtId="0" fontId="13" fillId="0" borderId="19" xfId="0" applyFont="1" applyBorder="1" applyProtection="1">
      <protection locked="0"/>
    </xf>
    <xf numFmtId="0" fontId="13" fillId="0" borderId="20" xfId="0" applyFont="1" applyBorder="1" applyProtection="1">
      <protection locked="0"/>
    </xf>
    <xf numFmtId="0" fontId="15" fillId="0" borderId="15" xfId="0" applyFont="1" applyBorder="1" applyAlignment="1">
      <alignment horizontal="left"/>
    </xf>
    <xf numFmtId="0" fontId="15" fillId="0" borderId="2" xfId="0" applyFont="1" applyBorder="1" applyAlignment="1">
      <alignment horizontal="right"/>
    </xf>
    <xf numFmtId="164" fontId="13" fillId="0" borderId="0" xfId="2" applyNumberFormat="1" applyFont="1" applyAlignment="1" applyProtection="1">
      <alignment horizontal="centerContinuous"/>
      <protection locked="0"/>
    </xf>
    <xf numFmtId="0" fontId="13" fillId="0" borderId="15" xfId="0" applyFont="1" applyBorder="1" applyAlignment="1">
      <alignment horizontal="left"/>
    </xf>
    <xf numFmtId="167" fontId="13" fillId="0" borderId="23" xfId="2" applyNumberFormat="1" applyFont="1" applyBorder="1"/>
    <xf numFmtId="164" fontId="13" fillId="0" borderId="0" xfId="2" applyNumberFormat="1" applyFont="1" applyAlignment="1">
      <alignment horizontal="center"/>
    </xf>
    <xf numFmtId="0" fontId="13" fillId="0" borderId="19" xfId="0" applyFont="1" applyBorder="1" applyAlignment="1">
      <alignment horizontal="left"/>
    </xf>
    <xf numFmtId="0" fontId="15" fillId="0" borderId="20" xfId="0" applyFont="1" applyBorder="1" applyAlignment="1">
      <alignment horizontal="right"/>
    </xf>
    <xf numFmtId="167" fontId="13" fillId="0" borderId="24" xfId="2" applyNumberFormat="1" applyFont="1" applyBorder="1"/>
    <xf numFmtId="0" fontId="13" fillId="0" borderId="25" xfId="0" applyFont="1" applyBorder="1"/>
    <xf numFmtId="164" fontId="13" fillId="0" borderId="0" xfId="2" applyNumberFormat="1" applyFont="1" applyProtection="1">
      <protection locked="0"/>
    </xf>
    <xf numFmtId="0" fontId="13" fillId="0" borderId="26" xfId="0" applyFont="1" applyBorder="1"/>
    <xf numFmtId="0" fontId="13" fillId="0" borderId="1" xfId="0" applyFont="1" applyBorder="1"/>
    <xf numFmtId="0" fontId="13" fillId="0" borderId="10" xfId="0" applyFont="1" applyBorder="1"/>
    <xf numFmtId="164" fontId="15" fillId="0" borderId="27" xfId="2" applyNumberFormat="1" applyFont="1" applyBorder="1" applyAlignment="1">
      <alignment horizontal="centerContinuous"/>
    </xf>
    <xf numFmtId="164" fontId="13" fillId="0" borderId="4" xfId="2" applyNumberFormat="1" applyFont="1" applyBorder="1" applyAlignment="1" applyProtection="1">
      <alignment horizontal="centerContinuous"/>
      <protection locked="0"/>
    </xf>
    <xf numFmtId="0" fontId="15" fillId="0" borderId="28" xfId="0" applyFont="1" applyBorder="1"/>
    <xf numFmtId="0" fontId="15" fillId="0" borderId="29" xfId="0" applyFont="1" applyBorder="1" applyAlignment="1">
      <alignment horizontal="right"/>
    </xf>
    <xf numFmtId="0" fontId="13" fillId="0" borderId="0" xfId="0" applyFont="1" applyAlignment="1">
      <alignment horizontal="center"/>
    </xf>
    <xf numFmtId="0" fontId="15" fillId="0" borderId="0" xfId="0" applyFont="1"/>
    <xf numFmtId="0" fontId="17" fillId="0" borderId="0" xfId="0" applyFont="1"/>
    <xf numFmtId="164" fontId="13" fillId="0" borderId="30" xfId="2" applyNumberFormat="1" applyFont="1" applyBorder="1" applyAlignment="1">
      <alignment horizontal="centerContinuous"/>
    </xf>
    <xf numFmtId="0" fontId="13" fillId="0" borderId="7" xfId="0" applyFont="1" applyBorder="1"/>
    <xf numFmtId="0" fontId="13" fillId="0" borderId="31" xfId="0" applyFont="1" applyBorder="1" applyAlignment="1">
      <alignment horizontal="left"/>
    </xf>
    <xf numFmtId="0" fontId="13" fillId="0" borderId="32" xfId="0" applyFont="1" applyBorder="1" applyAlignment="1">
      <alignment horizontal="center"/>
    </xf>
    <xf numFmtId="0" fontId="13" fillId="0" borderId="7" xfId="0" applyFont="1" applyBorder="1" applyProtection="1">
      <protection locked="0"/>
    </xf>
    <xf numFmtId="0" fontId="13" fillId="0" borderId="33" xfId="0" applyFont="1" applyBorder="1" applyAlignment="1">
      <alignment horizontal="center"/>
    </xf>
    <xf numFmtId="0" fontId="13" fillId="0" borderId="27" xfId="0" applyFont="1" applyBorder="1"/>
    <xf numFmtId="0" fontId="13" fillId="0" borderId="33" xfId="0" applyFont="1" applyBorder="1"/>
    <xf numFmtId="0" fontId="13" fillId="0" borderId="34" xfId="0" applyFont="1" applyBorder="1"/>
    <xf numFmtId="0" fontId="13" fillId="0" borderId="31" xfId="0" applyFont="1" applyBorder="1"/>
    <xf numFmtId="0" fontId="13" fillId="0" borderId="27" xfId="0" applyFont="1" applyBorder="1" applyAlignment="1">
      <alignment horizontal="centerContinuous"/>
    </xf>
    <xf numFmtId="0" fontId="13" fillId="0" borderId="31" xfId="0" applyFont="1" applyBorder="1" applyAlignment="1">
      <alignment horizontal="centerContinuous"/>
    </xf>
    <xf numFmtId="0" fontId="13" fillId="0" borderId="35" xfId="0" applyFont="1" applyBorder="1" applyAlignment="1">
      <alignment horizontal="centerContinuous"/>
    </xf>
    <xf numFmtId="0" fontId="13" fillId="0" borderId="25" xfId="0" applyFont="1" applyBorder="1" applyAlignment="1">
      <alignment horizontal="centerContinuous"/>
    </xf>
    <xf numFmtId="0" fontId="13" fillId="0" borderId="32" xfId="0" applyFont="1" applyBorder="1" applyAlignment="1">
      <alignment horizontal="centerContinuous"/>
    </xf>
    <xf numFmtId="0" fontId="18" fillId="0" borderId="1" xfId="0" applyFont="1" applyBorder="1" applyProtection="1">
      <protection locked="0"/>
    </xf>
    <xf numFmtId="0" fontId="19" fillId="0" borderId="1" xfId="0" applyFont="1" applyBorder="1" applyProtection="1">
      <protection locked="0"/>
    </xf>
    <xf numFmtId="0" fontId="19" fillId="0" borderId="0" xfId="0" applyFont="1"/>
    <xf numFmtId="0" fontId="19" fillId="0" borderId="1" xfId="0" applyFont="1" applyBorder="1" applyAlignment="1">
      <alignment horizontal="left"/>
    </xf>
    <xf numFmtId="0" fontId="18" fillId="0" borderId="0" xfId="0" applyFont="1" applyAlignment="1">
      <alignment horizontal="center"/>
    </xf>
    <xf numFmtId="0" fontId="19" fillId="0" borderId="0" xfId="0" applyFont="1" applyAlignment="1">
      <alignment horizontal="right"/>
    </xf>
    <xf numFmtId="0" fontId="19" fillId="0" borderId="0" xfId="0" applyFont="1" applyAlignment="1">
      <alignment horizontal="left"/>
    </xf>
    <xf numFmtId="0" fontId="19" fillId="0" borderId="1" xfId="0" applyFont="1" applyBorder="1"/>
    <xf numFmtId="0" fontId="18" fillId="0" borderId="3"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8" fillId="0" borderId="36" xfId="0" applyFont="1" applyBorder="1" applyAlignment="1">
      <alignment horizontal="center"/>
    </xf>
    <xf numFmtId="0" fontId="18" fillId="0" borderId="8" xfId="0" applyFont="1" applyBorder="1" applyAlignment="1">
      <alignment horizontal="center"/>
    </xf>
    <xf numFmtId="0" fontId="18" fillId="0" borderId="37" xfId="0" applyFont="1" applyBorder="1" applyAlignment="1">
      <alignment horizontal="center"/>
    </xf>
    <xf numFmtId="0" fontId="18" fillId="0" borderId="27" xfId="0" applyFont="1" applyBorder="1" applyAlignment="1">
      <alignment horizontal="center"/>
    </xf>
    <xf numFmtId="0" fontId="18" fillId="0" borderId="27" xfId="0" applyFont="1" applyBorder="1" applyAlignment="1">
      <alignment horizontal="right"/>
    </xf>
    <xf numFmtId="0" fontId="13" fillId="0" borderId="38" xfId="0" applyFont="1" applyBorder="1"/>
    <xf numFmtId="0" fontId="18" fillId="0" borderId="38" xfId="0" applyFont="1" applyBorder="1" applyAlignment="1">
      <alignment horizontal="center"/>
    </xf>
    <xf numFmtId="0" fontId="13" fillId="0" borderId="32" xfId="0" applyFont="1" applyBorder="1"/>
    <xf numFmtId="0" fontId="13" fillId="0" borderId="14" xfId="0" applyFont="1" applyBorder="1"/>
    <xf numFmtId="0" fontId="13" fillId="0" borderId="39" xfId="0" applyFont="1" applyBorder="1"/>
    <xf numFmtId="164" fontId="13" fillId="0" borderId="39" xfId="2" applyNumberFormat="1" applyFont="1" applyBorder="1"/>
    <xf numFmtId="0" fontId="13" fillId="0" borderId="13" xfId="0" applyFont="1" applyBorder="1"/>
    <xf numFmtId="0" fontId="19" fillId="0" borderId="14" xfId="0" applyFont="1" applyBorder="1" applyAlignment="1">
      <alignment horizontal="center"/>
    </xf>
    <xf numFmtId="166" fontId="13" fillId="0" borderId="40" xfId="1" applyNumberFormat="1" applyFont="1" applyBorder="1"/>
    <xf numFmtId="0" fontId="13" fillId="0" borderId="40" xfId="0" applyFont="1" applyBorder="1"/>
    <xf numFmtId="43" fontId="13" fillId="0" borderId="40" xfId="1" applyFont="1" applyBorder="1"/>
    <xf numFmtId="164" fontId="13" fillId="0" borderId="40" xfId="2" applyNumberFormat="1" applyFont="1" applyBorder="1"/>
    <xf numFmtId="166" fontId="13" fillId="0" borderId="26" xfId="1" applyNumberFormat="1" applyFont="1" applyBorder="1"/>
    <xf numFmtId="0" fontId="19" fillId="0" borderId="13" xfId="0" applyFont="1" applyBorder="1"/>
    <xf numFmtId="0" fontId="20" fillId="0" borderId="1" xfId="0" applyFont="1" applyBorder="1"/>
    <xf numFmtId="0" fontId="13" fillId="0" borderId="1" xfId="0" applyFont="1" applyBorder="1" applyAlignment="1">
      <alignment horizontal="center"/>
    </xf>
    <xf numFmtId="166" fontId="13" fillId="0" borderId="41" xfId="1" applyNumberFormat="1" applyFont="1" applyBorder="1"/>
    <xf numFmtId="0" fontId="13" fillId="0" borderId="41" xfId="0" applyFont="1" applyBorder="1"/>
    <xf numFmtId="43" fontId="13" fillId="0" borderId="41" xfId="1" applyFont="1" applyBorder="1"/>
    <xf numFmtId="0" fontId="13" fillId="0" borderId="42" xfId="0" applyFont="1" applyBorder="1"/>
    <xf numFmtId="0" fontId="19" fillId="0" borderId="27" xfId="0" applyFont="1" applyBorder="1"/>
    <xf numFmtId="166" fontId="13" fillId="0" borderId="43" xfId="1" applyNumberFormat="1" applyFont="1" applyBorder="1"/>
    <xf numFmtId="0" fontId="13" fillId="0" borderId="43" xfId="0" applyFont="1" applyBorder="1"/>
    <xf numFmtId="43" fontId="13" fillId="0" borderId="43" xfId="1" applyFont="1" applyBorder="1"/>
    <xf numFmtId="164" fontId="13" fillId="0" borderId="43" xfId="2" applyNumberFormat="1" applyFont="1" applyBorder="1"/>
    <xf numFmtId="166" fontId="13" fillId="0" borderId="44" xfId="1" applyNumberFormat="1" applyFont="1" applyBorder="1"/>
    <xf numFmtId="0" fontId="13" fillId="0" borderId="9" xfId="0" applyFont="1" applyBorder="1"/>
    <xf numFmtId="0" fontId="18" fillId="0" borderId="1" xfId="0" applyFont="1" applyBorder="1"/>
    <xf numFmtId="0" fontId="18" fillId="0" borderId="10" xfId="0" applyFont="1" applyBorder="1"/>
    <xf numFmtId="166" fontId="13" fillId="0" borderId="10" xfId="1" applyNumberFormat="1" applyFont="1" applyBorder="1"/>
    <xf numFmtId="164" fontId="13" fillId="0" borderId="10" xfId="2" applyNumberFormat="1" applyFont="1" applyBorder="1"/>
    <xf numFmtId="0" fontId="20" fillId="0" borderId="0" xfId="0" applyFont="1"/>
    <xf numFmtId="0" fontId="19" fillId="0" borderId="0" xfId="0" applyFont="1" applyAlignment="1" applyProtection="1">
      <alignment horizontal="left"/>
      <protection locked="0"/>
    </xf>
    <xf numFmtId="0" fontId="19" fillId="0" borderId="0" xfId="0" applyFont="1" applyProtection="1">
      <protection locked="0"/>
    </xf>
    <xf numFmtId="0" fontId="19" fillId="0" borderId="0" xfId="0" applyFont="1" applyAlignment="1" applyProtection="1">
      <alignment horizontal="right"/>
      <protection locked="0"/>
    </xf>
    <xf numFmtId="0" fontId="18" fillId="0" borderId="0" xfId="0" applyFont="1" applyAlignment="1" applyProtection="1">
      <alignment horizontal="left"/>
      <protection locked="0"/>
    </xf>
    <xf numFmtId="0" fontId="19" fillId="0" borderId="2" xfId="0" applyFont="1" applyBorder="1" applyProtection="1">
      <protection locked="0"/>
    </xf>
    <xf numFmtId="0" fontId="19" fillId="0" borderId="1" xfId="0" applyFont="1" applyBorder="1" applyAlignment="1" applyProtection="1">
      <alignment horizontal="right"/>
      <protection locked="0"/>
    </xf>
    <xf numFmtId="0" fontId="19" fillId="0" borderId="2" xfId="0" applyFont="1" applyBorder="1" applyAlignment="1" applyProtection="1">
      <alignment horizontal="right"/>
      <protection locked="0"/>
    </xf>
    <xf numFmtId="0" fontId="19" fillId="0" borderId="2" xfId="0" applyFont="1" applyBorder="1"/>
    <xf numFmtId="0" fontId="18" fillId="0" borderId="2" xfId="0" applyFont="1" applyBorder="1" applyAlignment="1">
      <alignment horizontal="center"/>
    </xf>
    <xf numFmtId="0" fontId="19" fillId="0" borderId="0" xfId="0" applyFont="1" applyAlignment="1">
      <alignment horizontal="left" indent="4"/>
    </xf>
    <xf numFmtId="0" fontId="18" fillId="0" borderId="45" xfId="0" applyFont="1" applyBorder="1" applyAlignment="1">
      <alignment horizontal="center"/>
    </xf>
    <xf numFmtId="0" fontId="19" fillId="0" borderId="0" xfId="0" applyFont="1" applyAlignment="1">
      <alignment vertical="center"/>
    </xf>
    <xf numFmtId="0" fontId="18" fillId="0" borderId="0" xfId="0" applyFont="1"/>
    <xf numFmtId="0" fontId="18" fillId="3" borderId="46" xfId="0" applyFont="1" applyFill="1" applyBorder="1" applyAlignment="1">
      <alignment horizontal="center" vertical="center"/>
    </xf>
    <xf numFmtId="0" fontId="18" fillId="3" borderId="29" xfId="0" applyFont="1" applyFill="1" applyBorder="1" applyAlignment="1">
      <alignment horizontal="center" vertical="center"/>
    </xf>
    <xf numFmtId="166" fontId="19" fillId="0" borderId="0" xfId="1" applyNumberFormat="1" applyFont="1"/>
    <xf numFmtId="43" fontId="19" fillId="0" borderId="0" xfId="1" applyFont="1"/>
    <xf numFmtId="0" fontId="19" fillId="0" borderId="40" xfId="0" applyFont="1" applyBorder="1" applyProtection="1">
      <protection locked="0"/>
    </xf>
    <xf numFmtId="0" fontId="19" fillId="0" borderId="15" xfId="0" applyFont="1" applyBorder="1" applyProtection="1">
      <protection locked="0"/>
    </xf>
    <xf numFmtId="0" fontId="19" fillId="0" borderId="16" xfId="0" applyFont="1" applyBorder="1" applyProtection="1">
      <protection locked="0"/>
    </xf>
    <xf numFmtId="166" fontId="19" fillId="0" borderId="40" xfId="1" applyNumberFormat="1" applyFont="1" applyBorder="1" applyProtection="1">
      <protection locked="0"/>
    </xf>
    <xf numFmtId="39" fontId="19" fillId="0" borderId="40" xfId="1" applyNumberFormat="1" applyFont="1" applyBorder="1" applyProtection="1">
      <protection locked="0"/>
    </xf>
    <xf numFmtId="166" fontId="19" fillId="0" borderId="40" xfId="1" applyNumberFormat="1" applyFont="1" applyBorder="1"/>
    <xf numFmtId="166" fontId="19" fillId="0" borderId="15" xfId="1" applyNumberFormat="1" applyFont="1" applyBorder="1" applyProtection="1">
      <protection locked="0"/>
    </xf>
    <xf numFmtId="166" fontId="19" fillId="0" borderId="2" xfId="1" applyNumberFormat="1" applyFont="1" applyBorder="1" applyProtection="1">
      <protection locked="0"/>
    </xf>
    <xf numFmtId="0" fontId="19" fillId="0" borderId="16" xfId="0" applyFont="1" applyBorder="1" applyAlignment="1" applyProtection="1">
      <alignment horizontal="center"/>
      <protection locked="0"/>
    </xf>
    <xf numFmtId="0" fontId="13" fillId="0" borderId="1" xfId="0" applyFont="1" applyBorder="1" applyAlignment="1" applyProtection="1">
      <alignment horizontal="right"/>
      <protection locked="0"/>
    </xf>
    <xf numFmtId="0" fontId="13" fillId="0" borderId="0" xfId="0" applyFont="1" applyAlignment="1" applyProtection="1">
      <alignment horizontal="left"/>
      <protection locked="0"/>
    </xf>
    <xf numFmtId="0" fontId="15" fillId="0" borderId="0" xfId="0" applyFont="1" applyAlignment="1" applyProtection="1">
      <alignment horizontal="left"/>
      <protection locked="0"/>
    </xf>
    <xf numFmtId="0" fontId="21" fillId="0" borderId="0" xfId="0" applyFont="1" applyAlignment="1">
      <alignment horizontal="center"/>
    </xf>
    <xf numFmtId="0" fontId="13" fillId="0" borderId="2" xfId="0" applyFont="1" applyBorder="1" applyAlignment="1" applyProtection="1">
      <alignment horizontal="right"/>
      <protection locked="0"/>
    </xf>
    <xf numFmtId="0" fontId="21" fillId="0" borderId="1" xfId="0" applyFont="1" applyBorder="1" applyAlignment="1" applyProtection="1">
      <alignment horizontal="left"/>
      <protection locked="0"/>
    </xf>
    <xf numFmtId="0" fontId="21" fillId="0" borderId="1" xfId="0" applyFont="1" applyBorder="1" applyProtection="1">
      <protection locked="0"/>
    </xf>
    <xf numFmtId="0" fontId="21" fillId="0" borderId="1" xfId="0" applyFont="1" applyBorder="1" applyAlignment="1" applyProtection="1">
      <alignment horizontal="center"/>
      <protection locked="0"/>
    </xf>
    <xf numFmtId="0" fontId="21" fillId="0" borderId="2" xfId="0" applyFont="1" applyBorder="1" applyAlignment="1">
      <alignment horizontal="center"/>
    </xf>
    <xf numFmtId="0" fontId="13" fillId="0" borderId="0" xfId="0" applyFont="1" applyAlignment="1">
      <alignment horizontal="right"/>
    </xf>
    <xf numFmtId="0" fontId="13" fillId="0" borderId="2" xfId="0" applyFont="1" applyBorder="1" applyAlignment="1">
      <alignment horizontal="right"/>
    </xf>
    <xf numFmtId="0" fontId="15" fillId="0" borderId="0" xfId="0" applyFont="1" applyProtection="1">
      <protection locked="0"/>
    </xf>
    <xf numFmtId="0" fontId="13" fillId="0" borderId="40" xfId="0" applyFont="1" applyBorder="1" applyProtection="1">
      <protection locked="0"/>
    </xf>
    <xf numFmtId="166" fontId="13" fillId="0" borderId="40" xfId="1" applyNumberFormat="1" applyFont="1" applyBorder="1" applyProtection="1">
      <protection locked="0"/>
    </xf>
    <xf numFmtId="43" fontId="13" fillId="0" borderId="40" xfId="1" applyFont="1" applyBorder="1" applyProtection="1">
      <protection locked="0"/>
    </xf>
    <xf numFmtId="166" fontId="13" fillId="0" borderId="2" xfId="1" applyNumberFormat="1" applyFont="1" applyBorder="1" applyProtection="1">
      <protection locked="0"/>
    </xf>
    <xf numFmtId="0" fontId="13" fillId="0" borderId="44" xfId="0" applyFont="1" applyBorder="1"/>
    <xf numFmtId="0" fontId="13" fillId="0" borderId="47" xfId="0" applyFont="1" applyBorder="1"/>
    <xf numFmtId="0" fontId="13" fillId="0" borderId="48" xfId="0" applyFont="1" applyBorder="1"/>
    <xf numFmtId="0" fontId="13" fillId="0" borderId="49" xfId="0" applyFont="1" applyBorder="1"/>
    <xf numFmtId="0" fontId="13" fillId="0" borderId="15" xfId="0" quotePrefix="1" applyFont="1" applyBorder="1"/>
    <xf numFmtId="0" fontId="13" fillId="0" borderId="9" xfId="0" applyFont="1" applyBorder="1" applyAlignment="1">
      <alignment horizontal="center"/>
    </xf>
    <xf numFmtId="0" fontId="13" fillId="0" borderId="42" xfId="0" applyFont="1" applyBorder="1" applyAlignment="1">
      <alignment horizontal="center"/>
    </xf>
    <xf numFmtId="0" fontId="13" fillId="4" borderId="4" xfId="0" applyFont="1" applyFill="1" applyBorder="1"/>
    <xf numFmtId="0" fontId="13" fillId="4" borderId="8" xfId="0" applyFont="1" applyFill="1" applyBorder="1"/>
    <xf numFmtId="0" fontId="13" fillId="4" borderId="34" xfId="0" applyFont="1" applyFill="1" applyBorder="1"/>
    <xf numFmtId="0" fontId="13" fillId="4" borderId="0" xfId="0" applyFont="1" applyFill="1"/>
    <xf numFmtId="0" fontId="13" fillId="4" borderId="33" xfId="0" applyFont="1" applyFill="1" applyBorder="1"/>
    <xf numFmtId="0" fontId="13" fillId="4" borderId="0" xfId="0" applyFont="1" applyFill="1" applyAlignment="1">
      <alignment horizontal="right"/>
    </xf>
    <xf numFmtId="0" fontId="13" fillId="4" borderId="0" xfId="0" quotePrefix="1" applyFont="1" applyFill="1"/>
    <xf numFmtId="0" fontId="13" fillId="4" borderId="31" xfId="0" applyFont="1" applyFill="1" applyBorder="1"/>
    <xf numFmtId="0" fontId="13" fillId="4" borderId="27" xfId="0" applyFont="1" applyFill="1" applyBorder="1" applyAlignment="1">
      <alignment horizontal="right"/>
    </xf>
    <xf numFmtId="0" fontId="13" fillId="4" borderId="27" xfId="0" applyFont="1" applyFill="1" applyBorder="1"/>
    <xf numFmtId="164" fontId="13" fillId="0" borderId="1" xfId="2" applyNumberFormat="1" applyFont="1" applyBorder="1" applyAlignment="1" applyProtection="1">
      <alignment horizontal="centerContinuous"/>
      <protection locked="0"/>
    </xf>
    <xf numFmtId="168" fontId="15" fillId="0" borderId="2" xfId="0" applyNumberFormat="1" applyFont="1" applyBorder="1" applyAlignment="1">
      <alignment horizontal="right" indent="2"/>
    </xf>
    <xf numFmtId="9" fontId="13" fillId="0" borderId="16" xfId="3" applyFont="1" applyBorder="1" applyAlignment="1">
      <alignment horizontal="left" indent="4"/>
    </xf>
    <xf numFmtId="0" fontId="2" fillId="0" borderId="0" xfId="0" applyFont="1"/>
    <xf numFmtId="0" fontId="2" fillId="0" borderId="0" xfId="0" quotePrefix="1" applyFont="1"/>
    <xf numFmtId="0" fontId="2" fillId="0" borderId="2" xfId="0" applyFont="1" applyBorder="1"/>
    <xf numFmtId="0" fontId="2" fillId="0" borderId="50" xfId="0" applyFont="1" applyBorder="1"/>
    <xf numFmtId="0" fontId="13" fillId="0" borderId="2" xfId="0" quotePrefix="1" applyFont="1" applyBorder="1"/>
    <xf numFmtId="164" fontId="15" fillId="0" borderId="34" xfId="2" applyNumberFormat="1" applyFont="1" applyBorder="1" applyAlignment="1">
      <alignment horizontal="left"/>
    </xf>
    <xf numFmtId="164" fontId="15" fillId="0" borderId="0" xfId="2" applyNumberFormat="1" applyFont="1" applyAlignment="1">
      <alignment horizontal="right"/>
    </xf>
    <xf numFmtId="164" fontId="13" fillId="0" borderId="51" xfId="2" quotePrefix="1" applyNumberFormat="1" applyFont="1" applyBorder="1" applyProtection="1">
      <protection locked="0"/>
    </xf>
    <xf numFmtId="169" fontId="13" fillId="5" borderId="0" xfId="0" applyNumberFormat="1" applyFont="1" applyFill="1"/>
    <xf numFmtId="0" fontId="13" fillId="0" borderId="0" xfId="0" quotePrefix="1" applyFont="1"/>
    <xf numFmtId="170" fontId="13" fillId="4" borderId="0" xfId="3" applyNumberFormat="1" applyFont="1" applyFill="1"/>
    <xf numFmtId="164" fontId="13" fillId="0" borderId="0" xfId="0" applyNumberFormat="1" applyFont="1"/>
    <xf numFmtId="0" fontId="0" fillId="6" borderId="0" xfId="0" applyFill="1"/>
    <xf numFmtId="166" fontId="0" fillId="0" borderId="0" xfId="1" applyNumberFormat="1" applyFont="1"/>
    <xf numFmtId="0" fontId="0" fillId="7" borderId="0" xfId="0" applyFill="1"/>
    <xf numFmtId="0" fontId="0" fillId="8" borderId="0" xfId="0" applyFill="1"/>
    <xf numFmtId="0" fontId="13" fillId="0" borderId="27" xfId="0" applyFont="1" applyBorder="1" applyAlignment="1">
      <alignment horizontal="left"/>
    </xf>
    <xf numFmtId="0" fontId="13" fillId="0" borderId="33" xfId="0" applyFont="1" applyBorder="1" applyProtection="1">
      <protection locked="0"/>
    </xf>
    <xf numFmtId="0" fontId="13" fillId="0" borderId="0" xfId="0" applyFont="1" applyAlignment="1" applyProtection="1">
      <alignment horizontal="right"/>
      <protection locked="0"/>
    </xf>
    <xf numFmtId="0" fontId="21" fillId="0" borderId="0" xfId="0" applyFont="1"/>
    <xf numFmtId="0" fontId="22" fillId="0" borderId="0" xfId="0" applyFont="1" applyAlignment="1">
      <alignment horizontal="center"/>
    </xf>
    <xf numFmtId="5" fontId="13" fillId="2" borderId="52" xfId="2" applyNumberFormat="1" applyFont="1" applyFill="1" applyBorder="1" applyProtection="1">
      <protection locked="0"/>
    </xf>
    <xf numFmtId="5" fontId="13" fillId="0" borderId="11" xfId="2" applyNumberFormat="1" applyFont="1" applyBorder="1"/>
    <xf numFmtId="5" fontId="13" fillId="0" borderId="53" xfId="2" applyNumberFormat="1" applyFont="1" applyBorder="1"/>
    <xf numFmtId="5" fontId="15" fillId="0" borderId="55" xfId="2" applyNumberFormat="1" applyFont="1" applyBorder="1"/>
    <xf numFmtId="0" fontId="15" fillId="9" borderId="0" xfId="0" applyFont="1" applyFill="1"/>
    <xf numFmtId="5" fontId="13" fillId="0" borderId="52" xfId="2" applyNumberFormat="1" applyFont="1" applyBorder="1" applyProtection="1">
      <protection locked="0"/>
    </xf>
    <xf numFmtId="0" fontId="13" fillId="0" borderId="56" xfId="0" applyFont="1" applyBorder="1"/>
    <xf numFmtId="0" fontId="13" fillId="0" borderId="45" xfId="0" applyFont="1" applyBorder="1"/>
    <xf numFmtId="5" fontId="13" fillId="0" borderId="57" xfId="2" applyNumberFormat="1" applyFont="1" applyBorder="1" applyProtection="1">
      <protection locked="0"/>
    </xf>
    <xf numFmtId="0" fontId="13" fillId="0" borderId="14" xfId="0" quotePrefix="1" applyFont="1" applyBorder="1" applyAlignment="1">
      <alignment horizontal="center"/>
    </xf>
    <xf numFmtId="0" fontId="13" fillId="4" borderId="27" xfId="0" quotePrefix="1" applyFont="1" applyFill="1" applyBorder="1"/>
    <xf numFmtId="5" fontId="15" fillId="0" borderId="58" xfId="2" applyNumberFormat="1" applyFont="1" applyBorder="1"/>
    <xf numFmtId="0" fontId="13" fillId="0" borderId="46" xfId="0" applyFont="1" applyBorder="1" applyAlignment="1">
      <alignment horizontal="center"/>
    </xf>
    <xf numFmtId="0" fontId="15" fillId="0" borderId="28" xfId="0" applyFont="1" applyBorder="1" applyAlignment="1">
      <alignment horizontal="right"/>
    </xf>
    <xf numFmtId="5" fontId="15" fillId="2" borderId="11" xfId="2" applyNumberFormat="1" applyFont="1" applyFill="1" applyBorder="1" applyProtection="1">
      <protection locked="0"/>
    </xf>
    <xf numFmtId="0" fontId="23" fillId="0" borderId="0" xfId="0" applyFont="1" applyAlignment="1">
      <alignment horizontal="left"/>
    </xf>
    <xf numFmtId="0" fontId="13" fillId="2" borderId="0" xfId="0" applyFont="1" applyFill="1" applyAlignment="1" applyProtection="1">
      <alignment horizontal="center"/>
      <protection locked="0"/>
    </xf>
    <xf numFmtId="0" fontId="18" fillId="2" borderId="1" xfId="0" applyFont="1" applyFill="1" applyBorder="1" applyAlignment="1" applyProtection="1">
      <alignment horizontal="center"/>
      <protection locked="0"/>
    </xf>
    <xf numFmtId="0" fontId="15" fillId="0" borderId="59" xfId="0" applyFont="1" applyBorder="1" applyAlignment="1">
      <alignment horizontal="center"/>
    </xf>
    <xf numFmtId="0" fontId="15" fillId="0" borderId="48" xfId="0" applyFont="1" applyBorder="1" applyAlignment="1">
      <alignment horizontal="center"/>
    </xf>
    <xf numFmtId="0" fontId="15" fillId="0" borderId="49" xfId="0" applyFont="1" applyBorder="1" applyAlignment="1">
      <alignment horizontal="center"/>
    </xf>
    <xf numFmtId="0" fontId="15" fillId="0" borderId="54" xfId="0" applyFont="1" applyBorder="1" applyAlignment="1">
      <alignment horizontal="center"/>
    </xf>
    <xf numFmtId="0" fontId="15" fillId="0" borderId="60" xfId="0" applyFont="1" applyBorder="1" applyAlignment="1">
      <alignment horizontal="center"/>
    </xf>
    <xf numFmtId="164" fontId="13" fillId="0" borderId="48" xfId="2" applyNumberFormat="1" applyFont="1" applyBorder="1" applyAlignment="1" applyProtection="1">
      <alignment horizontal="centerContinuous"/>
      <protection locked="0"/>
    </xf>
    <xf numFmtId="164" fontId="15" fillId="0" borderId="48" xfId="2" applyNumberFormat="1" applyFont="1" applyBorder="1"/>
    <xf numFmtId="164" fontId="13" fillId="0" borderId="61" xfId="2" applyNumberFormat="1" applyFont="1" applyBorder="1"/>
    <xf numFmtId="0" fontId="15" fillId="0" borderId="4" xfId="0" applyFont="1" applyBorder="1"/>
    <xf numFmtId="0" fontId="16" fillId="0" borderId="28" xfId="0" applyFont="1" applyBorder="1" applyAlignment="1">
      <alignment horizontal="right"/>
    </xf>
    <xf numFmtId="5" fontId="15" fillId="2" borderId="58" xfId="2" applyNumberFormat="1" applyFont="1" applyFill="1" applyBorder="1" applyProtection="1">
      <protection locked="0"/>
    </xf>
    <xf numFmtId="0" fontId="18" fillId="9" borderId="0" xfId="0" applyFont="1" applyFill="1"/>
    <xf numFmtId="164" fontId="13" fillId="0" borderId="60" xfId="2" applyNumberFormat="1" applyFont="1" applyBorder="1" applyAlignment="1">
      <alignment horizontal="centerContinuous"/>
    </xf>
    <xf numFmtId="164" fontId="13" fillId="0" borderId="61" xfId="2" applyNumberFormat="1" applyFont="1" applyBorder="1" applyAlignment="1">
      <alignment horizontal="right"/>
    </xf>
    <xf numFmtId="164" fontId="13" fillId="0" borderId="48" xfId="2" applyNumberFormat="1" applyFont="1" applyBorder="1" applyAlignment="1">
      <alignment horizontal="center"/>
    </xf>
    <xf numFmtId="164" fontId="13" fillId="0" borderId="27" xfId="2" applyNumberFormat="1" applyFont="1" applyBorder="1" applyAlignment="1">
      <alignment horizontal="center"/>
    </xf>
    <xf numFmtId="172" fontId="13" fillId="0" borderId="0" xfId="2" applyNumberFormat="1" applyFont="1"/>
    <xf numFmtId="164" fontId="13" fillId="0" borderId="26" xfId="2" applyNumberFormat="1" applyFont="1" applyBorder="1" applyAlignment="1">
      <alignment horizontal="centerContinuous"/>
    </xf>
    <xf numFmtId="171" fontId="13" fillId="0" borderId="1" xfId="2" applyNumberFormat="1" applyFont="1" applyBorder="1"/>
    <xf numFmtId="0" fontId="24" fillId="4" borderId="4" xfId="0" applyFont="1" applyFill="1" applyBorder="1"/>
    <xf numFmtId="0" fontId="13" fillId="0" borderId="32" xfId="0" applyFont="1" applyBorder="1" applyAlignment="1">
      <alignment horizontal="right"/>
    </xf>
    <xf numFmtId="15" fontId="20" fillId="0" borderId="0" xfId="0" applyNumberFormat="1" applyFont="1"/>
    <xf numFmtId="0" fontId="20" fillId="0" borderId="0" xfId="0" applyFont="1" applyAlignment="1">
      <alignment horizontal="right"/>
    </xf>
    <xf numFmtId="0" fontId="15" fillId="0" borderId="2" xfId="0" quotePrefix="1" applyFont="1" applyBorder="1"/>
    <xf numFmtId="164" fontId="15" fillId="0" borderId="62" xfId="2" quotePrefix="1" applyNumberFormat="1" applyFont="1" applyBorder="1" applyAlignment="1">
      <alignment horizontal="left"/>
    </xf>
    <xf numFmtId="164" fontId="15" fillId="0" borderId="10" xfId="2" quotePrefix="1" applyNumberFormat="1" applyFont="1" applyBorder="1" applyAlignment="1">
      <alignment horizontal="left"/>
    </xf>
    <xf numFmtId="0" fontId="15" fillId="8" borderId="3" xfId="0" applyFont="1" applyFill="1" applyBorder="1" applyProtection="1">
      <protection locked="0"/>
    </xf>
    <xf numFmtId="0" fontId="15" fillId="8" borderId="37" xfId="0" applyFont="1" applyFill="1" applyBorder="1" applyAlignment="1" applyProtection="1">
      <alignment horizontal="center"/>
      <protection locked="0"/>
    </xf>
    <xf numFmtId="0" fontId="15" fillId="8" borderId="38" xfId="0" applyFont="1" applyFill="1" applyBorder="1" applyAlignment="1" applyProtection="1">
      <alignment horizontal="center"/>
      <protection locked="0"/>
    </xf>
    <xf numFmtId="0" fontId="15" fillId="8" borderId="38" xfId="0" applyFont="1" applyFill="1" applyBorder="1" applyAlignment="1">
      <alignment horizontal="center"/>
    </xf>
    <xf numFmtId="0" fontId="15" fillId="0" borderId="2" xfId="0" applyFont="1" applyBorder="1" applyProtection="1">
      <protection locked="0"/>
    </xf>
    <xf numFmtId="0" fontId="15" fillId="0" borderId="16" xfId="0" applyFont="1" applyBorder="1" applyProtection="1">
      <protection locked="0"/>
    </xf>
    <xf numFmtId="166" fontId="15" fillId="0" borderId="40" xfId="1" applyNumberFormat="1" applyFont="1" applyBorder="1" applyProtection="1">
      <protection locked="0"/>
    </xf>
    <xf numFmtId="5" fontId="13" fillId="2" borderId="52" xfId="2" applyNumberFormat="1" applyFont="1" applyFill="1" applyBorder="1"/>
    <xf numFmtId="5" fontId="13" fillId="2" borderId="53" xfId="2" applyNumberFormat="1" applyFont="1" applyFill="1" applyBorder="1"/>
    <xf numFmtId="5" fontId="15" fillId="2" borderId="11" xfId="2" applyNumberFormat="1" applyFont="1" applyFill="1" applyBorder="1"/>
    <xf numFmtId="0" fontId="28" fillId="0" borderId="0" xfId="0" applyFont="1"/>
    <xf numFmtId="5" fontId="13" fillId="2" borderId="11" xfId="2" applyNumberFormat="1" applyFont="1" applyFill="1" applyBorder="1"/>
    <xf numFmtId="9" fontId="13" fillId="0" borderId="21" xfId="3" applyFont="1" applyBorder="1" applyAlignment="1">
      <alignment horizontal="left" indent="4"/>
    </xf>
    <xf numFmtId="165" fontId="13" fillId="0" borderId="51" xfId="1" applyNumberFormat="1" applyFont="1" applyBorder="1"/>
    <xf numFmtId="169" fontId="13" fillId="4" borderId="0" xfId="0" applyNumberFormat="1" applyFont="1" applyFill="1"/>
    <xf numFmtId="0" fontId="13" fillId="4" borderId="33" xfId="0" quotePrefix="1" applyFont="1" applyFill="1" applyBorder="1"/>
    <xf numFmtId="166" fontId="13" fillId="0" borderId="40" xfId="1" quotePrefix="1" applyNumberFormat="1" applyFont="1" applyBorder="1" applyProtection="1">
      <protection locked="0"/>
    </xf>
    <xf numFmtId="166" fontId="13" fillId="0" borderId="0" xfId="0" applyNumberFormat="1" applyFont="1"/>
    <xf numFmtId="0" fontId="13" fillId="5" borderId="0" xfId="0" applyFont="1" applyFill="1"/>
    <xf numFmtId="43" fontId="15" fillId="0" borderId="40" xfId="1" applyFont="1" applyBorder="1"/>
    <xf numFmtId="0" fontId="29" fillId="0" borderId="0" xfId="0" applyFont="1"/>
    <xf numFmtId="9" fontId="13" fillId="5" borderId="40" xfId="3" applyFont="1" applyFill="1" applyBorder="1" applyProtection="1">
      <protection locked="0"/>
    </xf>
    <xf numFmtId="166" fontId="15" fillId="0" borderId="40" xfId="1" applyNumberFormat="1" applyFont="1" applyBorder="1"/>
    <xf numFmtId="166" fontId="15" fillId="10" borderId="40" xfId="1" applyNumberFormat="1" applyFont="1" applyFill="1" applyBorder="1"/>
    <xf numFmtId="0" fontId="13" fillId="5" borderId="0" xfId="0" applyFont="1" applyFill="1" applyAlignment="1">
      <alignment horizontal="center"/>
    </xf>
    <xf numFmtId="10" fontId="13" fillId="0" borderId="10" xfId="3" applyNumberFormat="1" applyFont="1" applyBorder="1"/>
    <xf numFmtId="10" fontId="13" fillId="4" borderId="17" xfId="3" applyNumberFormat="1" applyFont="1" applyFill="1" applyBorder="1"/>
    <xf numFmtId="10" fontId="13" fillId="4" borderId="16" xfId="3" applyNumberFormat="1" applyFont="1" applyFill="1" applyBorder="1"/>
    <xf numFmtId="10" fontId="13" fillId="0" borderId="16" xfId="3" applyNumberFormat="1" applyFont="1" applyBorder="1"/>
    <xf numFmtId="166" fontId="13" fillId="5" borderId="27" xfId="1" applyNumberFormat="1" applyFont="1" applyFill="1" applyBorder="1"/>
    <xf numFmtId="9" fontId="13" fillId="0" borderId="34" xfId="3" applyFont="1" applyBorder="1" applyAlignment="1">
      <alignment horizontal="centerContinuous"/>
    </xf>
    <xf numFmtId="9" fontId="13" fillId="0" borderId="31" xfId="3" applyFont="1" applyBorder="1" applyAlignment="1">
      <alignment horizontal="centerContinuous"/>
    </xf>
    <xf numFmtId="10" fontId="13" fillId="0" borderId="21" xfId="0" applyNumberFormat="1" applyFont="1" applyBorder="1"/>
    <xf numFmtId="43" fontId="13" fillId="0" borderId="51" xfId="1" applyFont="1" applyBorder="1"/>
    <xf numFmtId="0" fontId="14" fillId="0" borderId="0" xfId="0" applyFont="1"/>
    <xf numFmtId="0" fontId="30" fillId="0" borderId="0" xfId="0" applyFont="1"/>
    <xf numFmtId="0" fontId="21" fillId="0" borderId="0" xfId="0" applyFont="1" applyAlignment="1">
      <alignment horizontal="right"/>
    </xf>
    <xf numFmtId="10" fontId="13" fillId="0" borderId="40" xfId="1" applyNumberFormat="1" applyFont="1" applyBorder="1"/>
    <xf numFmtId="10" fontId="13" fillId="0" borderId="40" xfId="3" applyNumberFormat="1" applyFont="1" applyBorder="1" applyAlignment="1">
      <alignment horizontal="right"/>
    </xf>
    <xf numFmtId="9" fontId="13" fillId="5" borderId="16" xfId="3" applyFont="1" applyFill="1" applyBorder="1" applyAlignment="1">
      <alignment horizontal="left" indent="4"/>
    </xf>
    <xf numFmtId="173" fontId="13" fillId="4" borderId="0" xfId="0" applyNumberFormat="1" applyFont="1" applyFill="1" applyAlignment="1">
      <alignment horizontal="center"/>
    </xf>
    <xf numFmtId="10" fontId="13" fillId="4" borderId="27" xfId="3" applyNumberFormat="1" applyFont="1" applyFill="1" applyBorder="1"/>
    <xf numFmtId="168" fontId="13" fillId="5" borderId="0" xfId="3" applyNumberFormat="1" applyFont="1" applyFill="1"/>
    <xf numFmtId="9" fontId="13" fillId="4" borderId="0" xfId="3" applyFont="1" applyFill="1"/>
    <xf numFmtId="164" fontId="33" fillId="0" borderId="0" xfId="2" applyNumberFormat="1" applyFont="1" applyAlignment="1">
      <alignment horizontal="right"/>
    </xf>
    <xf numFmtId="0" fontId="34" fillId="0" borderId="0" xfId="0" applyFont="1"/>
    <xf numFmtId="0" fontId="1" fillId="0" borderId="0" xfId="0" applyFont="1"/>
    <xf numFmtId="0" fontId="35" fillId="0" borderId="0" xfId="0" applyFont="1"/>
    <xf numFmtId="9" fontId="13" fillId="4" borderId="0" xfId="3" applyFont="1" applyFill="1" applyAlignment="1">
      <alignment horizontal="center"/>
    </xf>
    <xf numFmtId="171" fontId="13" fillId="0" borderId="0" xfId="2" applyNumberFormat="1" applyFont="1"/>
    <xf numFmtId="164" fontId="15" fillId="0" borderId="0" xfId="2" quotePrefix="1" applyNumberFormat="1" applyFont="1" applyAlignment="1">
      <alignment horizontal="left"/>
    </xf>
    <xf numFmtId="164" fontId="13" fillId="0" borderId="39" xfId="2" quotePrefix="1" applyNumberFormat="1" applyFont="1" applyBorder="1" applyAlignment="1">
      <alignment horizontal="left"/>
    </xf>
    <xf numFmtId="172" fontId="13" fillId="0" borderId="41" xfId="2" applyNumberFormat="1" applyFont="1" applyBorder="1" applyAlignment="1">
      <alignment horizontal="center"/>
    </xf>
    <xf numFmtId="171" fontId="13" fillId="0" borderId="68" xfId="2" applyNumberFormat="1" applyFont="1" applyBorder="1" applyAlignment="1">
      <alignment horizontal="center"/>
    </xf>
    <xf numFmtId="164" fontId="15" fillId="11" borderId="10" xfId="2" applyNumberFormat="1" applyFont="1" applyFill="1" applyBorder="1"/>
    <xf numFmtId="0" fontId="13" fillId="4" borderId="32" xfId="0" quotePrefix="1" applyFont="1" applyFill="1" applyBorder="1"/>
    <xf numFmtId="0" fontId="35" fillId="0" borderId="0" xfId="0" applyFont="1" applyAlignment="1">
      <alignment horizontal="center"/>
    </xf>
    <xf numFmtId="0" fontId="15" fillId="12" borderId="0" xfId="0" applyFont="1" applyFill="1"/>
    <xf numFmtId="0" fontId="13" fillId="12" borderId="0" xfId="0" applyFont="1" applyFill="1"/>
    <xf numFmtId="0" fontId="13" fillId="12" borderId="0" xfId="0" applyFont="1" applyFill="1" applyAlignment="1">
      <alignment horizontal="center"/>
    </xf>
    <xf numFmtId="0" fontId="17" fillId="12" borderId="56" xfId="0" applyFont="1" applyFill="1" applyBorder="1" applyAlignment="1">
      <alignment horizontal="center"/>
    </xf>
    <xf numFmtId="0" fontId="17" fillId="12" borderId="45" xfId="0" applyFont="1" applyFill="1" applyBorder="1" applyAlignment="1">
      <alignment horizontal="center"/>
    </xf>
    <xf numFmtId="0" fontId="17" fillId="12" borderId="17" xfId="0" applyFont="1" applyFill="1" applyBorder="1" applyAlignment="1">
      <alignment horizontal="center"/>
    </xf>
    <xf numFmtId="3" fontId="17" fillId="12" borderId="30" xfId="0" applyNumberFormat="1" applyFont="1" applyFill="1" applyBorder="1" applyAlignment="1">
      <alignment horizontal="center"/>
    </xf>
    <xf numFmtId="3" fontId="17" fillId="12" borderId="0" xfId="0" applyNumberFormat="1" applyFont="1" applyFill="1" applyAlignment="1">
      <alignment horizontal="center"/>
    </xf>
    <xf numFmtId="0" fontId="17" fillId="12" borderId="0" xfId="0" applyFont="1" applyFill="1" applyAlignment="1">
      <alignment horizontal="center"/>
    </xf>
    <xf numFmtId="0" fontId="17" fillId="12" borderId="62" xfId="0" applyFont="1" applyFill="1" applyBorder="1" applyAlignment="1">
      <alignment horizontal="center"/>
    </xf>
    <xf numFmtId="3" fontId="17" fillId="12" borderId="26" xfId="0" applyNumberFormat="1" applyFont="1" applyFill="1" applyBorder="1" applyAlignment="1">
      <alignment horizontal="center"/>
    </xf>
    <xf numFmtId="3" fontId="17" fillId="12" borderId="1" xfId="0" applyNumberFormat="1" applyFont="1" applyFill="1" applyBorder="1" applyAlignment="1">
      <alignment horizontal="center"/>
    </xf>
    <xf numFmtId="0" fontId="17" fillId="12" borderId="1" xfId="0" applyFont="1" applyFill="1" applyBorder="1" applyAlignment="1">
      <alignment horizontal="center"/>
    </xf>
    <xf numFmtId="0" fontId="17" fillId="12" borderId="10" xfId="0" applyFont="1" applyFill="1" applyBorder="1" applyAlignment="1">
      <alignment horizontal="center"/>
    </xf>
    <xf numFmtId="0" fontId="17" fillId="12" borderId="0" xfId="0" applyFont="1" applyFill="1"/>
    <xf numFmtId="0" fontId="36" fillId="12" borderId="15" xfId="0" applyFont="1" applyFill="1" applyBorder="1" applyAlignment="1">
      <alignment horizontal="center"/>
    </xf>
    <xf numFmtId="0" fontId="36" fillId="12" borderId="16" xfId="0" applyFont="1" applyFill="1" applyBorder="1" applyAlignment="1">
      <alignment horizontal="center"/>
    </xf>
    <xf numFmtId="168" fontId="15" fillId="5" borderId="16" xfId="3" applyNumberFormat="1" applyFont="1" applyFill="1" applyBorder="1" applyAlignment="1">
      <alignment horizontal="centerContinuous"/>
    </xf>
    <xf numFmtId="0" fontId="13" fillId="4" borderId="27" xfId="0" applyFont="1" applyFill="1" applyBorder="1" applyAlignment="1">
      <alignment horizontal="center"/>
    </xf>
    <xf numFmtId="5" fontId="13" fillId="0" borderId="54" xfId="2" applyNumberFormat="1" applyFont="1" applyFill="1" applyBorder="1" applyProtection="1">
      <protection locked="0"/>
    </xf>
    <xf numFmtId="171" fontId="13" fillId="0" borderId="32" xfId="2" applyNumberFormat="1" applyFont="1" applyBorder="1" applyAlignment="1">
      <alignment horizontal="right"/>
    </xf>
    <xf numFmtId="171" fontId="13" fillId="0" borderId="33" xfId="2" applyNumberFormat="1" applyFont="1" applyBorder="1" applyAlignment="1">
      <alignment horizontal="right"/>
    </xf>
    <xf numFmtId="171" fontId="17" fillId="0" borderId="16" xfId="2" applyNumberFormat="1" applyFont="1" applyBorder="1" applyAlignment="1">
      <alignment horizontal="center" vertical="center"/>
    </xf>
    <xf numFmtId="164" fontId="13" fillId="0" borderId="0" xfId="2" applyNumberFormat="1" applyFont="1" applyAlignment="1">
      <alignment horizontal="left"/>
    </xf>
    <xf numFmtId="0" fontId="39" fillId="0" borderId="0" xfId="0" applyFont="1"/>
    <xf numFmtId="164" fontId="41" fillId="0" borderId="0" xfId="2" applyNumberFormat="1" applyFont="1" applyAlignment="1">
      <alignment horizontal="left" vertical="center"/>
    </xf>
    <xf numFmtId="174" fontId="13" fillId="0" borderId="0" xfId="0" applyNumberFormat="1" applyFont="1"/>
    <xf numFmtId="169" fontId="20" fillId="0" borderId="0" xfId="0" applyNumberFormat="1" applyFont="1"/>
    <xf numFmtId="169" fontId="13" fillId="0" borderId="0" xfId="0" applyNumberFormat="1" applyFont="1" applyAlignment="1">
      <alignment horizontal="center"/>
    </xf>
    <xf numFmtId="0" fontId="13" fillId="0" borderId="33" xfId="0" quotePrefix="1" applyFont="1" applyBorder="1" applyAlignment="1">
      <alignment horizontal="center"/>
    </xf>
    <xf numFmtId="168" fontId="13" fillId="4" borderId="0" xfId="3" applyNumberFormat="1" applyFont="1" applyFill="1" applyAlignment="1">
      <alignment horizontal="center"/>
    </xf>
    <xf numFmtId="0" fontId="15" fillId="0" borderId="15" xfId="0" applyFont="1" applyBorder="1" applyProtection="1">
      <protection locked="0"/>
    </xf>
    <xf numFmtId="0" fontId="13" fillId="0" borderId="50" xfId="0" applyFont="1" applyBorder="1"/>
    <xf numFmtId="0" fontId="15" fillId="4" borderId="7" xfId="0" applyFont="1" applyFill="1" applyBorder="1"/>
    <xf numFmtId="0" fontId="45" fillId="0" borderId="0" xfId="0" applyFont="1"/>
    <xf numFmtId="0" fontId="13" fillId="5" borderId="0" xfId="0" quotePrefix="1" applyFont="1" applyFill="1" applyAlignment="1">
      <alignment horizontal="right"/>
    </xf>
    <xf numFmtId="0" fontId="17" fillId="4" borderId="0" xfId="0" applyFont="1" applyFill="1" applyAlignment="1">
      <alignment horizontal="right"/>
    </xf>
    <xf numFmtId="0" fontId="20" fillId="4" borderId="0" xfId="0" applyFont="1" applyFill="1"/>
    <xf numFmtId="0" fontId="17" fillId="4" borderId="0" xfId="0" applyFont="1" applyFill="1" applyAlignment="1" applyProtection="1">
      <alignment horizontal="right"/>
      <protection locked="0"/>
    </xf>
    <xf numFmtId="0" fontId="15" fillId="4" borderId="0" xfId="0" applyFont="1" applyFill="1" applyAlignment="1">
      <alignment horizontal="right"/>
    </xf>
    <xf numFmtId="0" fontId="47" fillId="0" borderId="0" xfId="0" applyFont="1"/>
    <xf numFmtId="0" fontId="13" fillId="0" borderId="19" xfId="0" applyFont="1" applyBorder="1" applyAlignment="1">
      <alignment wrapText="1"/>
    </xf>
    <xf numFmtId="0" fontId="15" fillId="0" borderId="1" xfId="0" applyFont="1" applyBorder="1"/>
    <xf numFmtId="0" fontId="15" fillId="0" borderId="10" xfId="0" applyFont="1" applyBorder="1"/>
    <xf numFmtId="5" fontId="13" fillId="3" borderId="11" xfId="2" applyNumberFormat="1" applyFont="1" applyFill="1" applyBorder="1"/>
    <xf numFmtId="5" fontId="13" fillId="10" borderId="54" xfId="2" applyNumberFormat="1" applyFont="1" applyFill="1" applyBorder="1" applyProtection="1">
      <protection locked="0"/>
    </xf>
    <xf numFmtId="5" fontId="13" fillId="10" borderId="55" xfId="2" applyNumberFormat="1" applyFont="1" applyFill="1" applyBorder="1" applyProtection="1">
      <protection locked="0"/>
    </xf>
    <xf numFmtId="5" fontId="13" fillId="10" borderId="52" xfId="2" applyNumberFormat="1" applyFont="1" applyFill="1" applyBorder="1" applyProtection="1">
      <protection locked="0"/>
    </xf>
    <xf numFmtId="10" fontId="13" fillId="0" borderId="22" xfId="3" applyNumberFormat="1" applyFont="1" applyBorder="1" applyAlignment="1">
      <alignment horizontal="center"/>
    </xf>
    <xf numFmtId="0" fontId="27" fillId="0" borderId="0" xfId="0" applyFont="1" applyAlignment="1">
      <alignment horizontal="center"/>
    </xf>
    <xf numFmtId="0" fontId="48" fillId="0" borderId="0" xfId="0" applyFont="1"/>
    <xf numFmtId="0" fontId="49" fillId="0" borderId="0" xfId="0" applyFont="1" applyAlignment="1">
      <alignment horizontal="left"/>
    </xf>
    <xf numFmtId="0" fontId="50" fillId="0" borderId="0" xfId="0" applyFont="1" applyAlignment="1">
      <alignment horizontal="left"/>
    </xf>
    <xf numFmtId="0" fontId="21" fillId="13" borderId="0" xfId="0" applyFont="1" applyFill="1"/>
    <xf numFmtId="0" fontId="15" fillId="13" borderId="0" xfId="0" applyFont="1" applyFill="1"/>
    <xf numFmtId="175" fontId="13" fillId="0" borderId="1" xfId="0" applyNumberFormat="1" applyFont="1" applyBorder="1" applyAlignment="1" applyProtection="1">
      <alignment horizontal="center"/>
      <protection locked="0"/>
    </xf>
    <xf numFmtId="0" fontId="51" fillId="0" borderId="0" xfId="0" applyFont="1"/>
    <xf numFmtId="0" fontId="13" fillId="0" borderId="34" xfId="0" applyFont="1" applyBorder="1" applyAlignment="1">
      <alignment horizontal="left"/>
    </xf>
    <xf numFmtId="0" fontId="36" fillId="13" borderId="63" xfId="0" applyFont="1" applyFill="1" applyBorder="1"/>
    <xf numFmtId="10" fontId="36" fillId="13" borderId="35" xfId="3" applyNumberFormat="1" applyFont="1" applyFill="1" applyBorder="1" applyAlignment="1">
      <alignment horizontal="left" indent="1"/>
    </xf>
    <xf numFmtId="0" fontId="15" fillId="5" borderId="1" xfId="0" applyFont="1" applyFill="1" applyBorder="1" applyAlignment="1">
      <alignment horizontal="center"/>
    </xf>
    <xf numFmtId="9" fontId="13" fillId="0" borderId="40" xfId="3" applyFont="1" applyBorder="1" applyAlignment="1">
      <alignment horizontal="right"/>
    </xf>
    <xf numFmtId="0" fontId="13" fillId="7" borderId="7" xfId="0" applyFont="1" applyFill="1" applyBorder="1"/>
    <xf numFmtId="166" fontId="13" fillId="7" borderId="4" xfId="1" applyNumberFormat="1" applyFont="1" applyFill="1" applyBorder="1"/>
    <xf numFmtId="0" fontId="20" fillId="7" borderId="8" xfId="0" applyFont="1" applyFill="1" applyBorder="1"/>
    <xf numFmtId="0" fontId="13" fillId="7" borderId="31" xfId="0" applyFont="1" applyFill="1" applyBorder="1"/>
    <xf numFmtId="169" fontId="20" fillId="7" borderId="27" xfId="0" applyNumberFormat="1" applyFont="1" applyFill="1" applyBorder="1"/>
    <xf numFmtId="0" fontId="20" fillId="7" borderId="32" xfId="0" applyFont="1" applyFill="1" applyBorder="1"/>
    <xf numFmtId="0" fontId="15" fillId="2" borderId="1" xfId="0" applyFont="1" applyFill="1" applyBorder="1" applyAlignment="1" applyProtection="1">
      <alignment horizontal="center"/>
      <protection locked="0"/>
    </xf>
    <xf numFmtId="0" fontId="17" fillId="4" borderId="0" xfId="0" applyFont="1" applyFill="1" applyAlignment="1">
      <alignment horizontal="right" wrapText="1"/>
    </xf>
    <xf numFmtId="0" fontId="20" fillId="5" borderId="27" xfId="0" applyFont="1" applyFill="1" applyBorder="1"/>
    <xf numFmtId="0" fontId="0" fillId="0" borderId="27" xfId="0" applyBorder="1"/>
    <xf numFmtId="0" fontId="20" fillId="0" borderId="0" xfId="0" applyFont="1" applyAlignment="1">
      <alignment wrapText="1"/>
    </xf>
    <xf numFmtId="0" fontId="0" fillId="0" borderId="0" xfId="0" applyAlignment="1">
      <alignment wrapText="1"/>
    </xf>
    <xf numFmtId="0" fontId="12" fillId="0" borderId="0" xfId="0" applyFont="1" applyAlignment="1">
      <alignment horizontal="left" vertical="top" wrapText="1"/>
    </xf>
    <xf numFmtId="0" fontId="2" fillId="0" borderId="0" xfId="0" applyFont="1" applyAlignment="1">
      <alignment horizontal="left" vertical="top" wrapText="1"/>
    </xf>
    <xf numFmtId="0" fontId="26" fillId="0" borderId="0" xfId="0" applyFont="1" applyAlignment="1" applyProtection="1">
      <alignment horizontal="center"/>
      <protection locked="0"/>
    </xf>
    <xf numFmtId="0" fontId="18" fillId="0" borderId="0" xfId="0" applyFont="1" applyAlignment="1" applyProtection="1">
      <alignment horizontal="center"/>
      <protection locked="0"/>
    </xf>
    <xf numFmtId="0" fontId="18" fillId="3" borderId="28"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35" xfId="0" applyFont="1" applyFill="1" applyBorder="1" applyAlignment="1">
      <alignment horizontal="center" vertical="center"/>
    </xf>
    <xf numFmtId="0" fontId="17" fillId="0" borderId="0" xfId="0" applyFont="1" applyAlignment="1">
      <alignment wrapText="1"/>
    </xf>
    <xf numFmtId="0" fontId="14" fillId="0" borderId="0" xfId="0" quotePrefix="1" applyFont="1" applyAlignment="1">
      <alignment horizontal="right" wrapText="1"/>
    </xf>
    <xf numFmtId="0" fontId="11" fillId="0" borderId="0" xfId="0" applyFont="1" applyAlignment="1">
      <alignment wrapText="1"/>
    </xf>
    <xf numFmtId="164" fontId="15" fillId="0" borderId="31" xfId="2" applyNumberFormat="1" applyFont="1" applyBorder="1" applyAlignment="1">
      <alignment horizontal="right"/>
    </xf>
    <xf numFmtId="0" fontId="13" fillId="0" borderId="27" xfId="0" applyFont="1" applyBorder="1" applyAlignment="1">
      <alignment horizontal="right"/>
    </xf>
    <xf numFmtId="5" fontId="15" fillId="0" borderId="63" xfId="2" applyNumberFormat="1" applyFont="1" applyBorder="1"/>
    <xf numFmtId="5" fontId="15" fillId="0" borderId="35" xfId="0" applyNumberFormat="1" applyFont="1" applyBorder="1"/>
    <xf numFmtId="164" fontId="13" fillId="2" borderId="51" xfId="2" applyNumberFormat="1" applyFont="1" applyFill="1" applyBorder="1" applyAlignment="1" applyProtection="1">
      <alignment wrapText="1"/>
      <protection locked="0"/>
    </xf>
    <xf numFmtId="0" fontId="2" fillId="0" borderId="2" xfId="0" applyFont="1" applyBorder="1" applyAlignment="1">
      <alignment wrapText="1"/>
    </xf>
    <xf numFmtId="0" fontId="2" fillId="0" borderId="50" xfId="0" applyFont="1" applyBorder="1" applyAlignment="1">
      <alignment wrapText="1"/>
    </xf>
    <xf numFmtId="0" fontId="18" fillId="13" borderId="1" xfId="0" applyFont="1" applyFill="1" applyBorder="1" applyAlignment="1" applyProtection="1">
      <alignment horizontal="left" wrapText="1"/>
      <protection locked="0"/>
    </xf>
    <xf numFmtId="0" fontId="0" fillId="13" borderId="1" xfId="0" applyFill="1" applyBorder="1" applyAlignment="1">
      <alignment horizontal="left" wrapText="1"/>
    </xf>
    <xf numFmtId="0" fontId="25" fillId="0" borderId="0" xfId="0" applyFont="1" applyAlignment="1">
      <alignment horizontal="center"/>
    </xf>
    <xf numFmtId="164" fontId="13" fillId="2" borderId="64" xfId="2" applyNumberFormat="1" applyFont="1" applyFill="1" applyBorder="1" applyAlignment="1" applyProtection="1">
      <alignment wrapText="1"/>
      <protection locked="0"/>
    </xf>
    <xf numFmtId="0" fontId="2" fillId="0" borderId="20" xfId="0" applyFont="1" applyBorder="1" applyAlignment="1">
      <alignment wrapText="1"/>
    </xf>
    <xf numFmtId="0" fontId="2" fillId="0" borderId="65" xfId="0" applyFont="1" applyBorder="1" applyAlignment="1">
      <alignment wrapText="1"/>
    </xf>
    <xf numFmtId="0" fontId="13" fillId="0" borderId="31" xfId="0" applyFont="1" applyBorder="1" applyAlignment="1">
      <alignment horizontal="center"/>
    </xf>
    <xf numFmtId="0" fontId="13" fillId="0" borderId="27" xfId="0" applyFont="1" applyBorder="1" applyAlignment="1">
      <alignment horizontal="center"/>
    </xf>
    <xf numFmtId="0" fontId="23" fillId="0" borderId="34" xfId="0" applyFont="1" applyBorder="1" applyAlignment="1">
      <alignment horizontal="center"/>
    </xf>
    <xf numFmtId="0" fontId="23" fillId="0" borderId="0" xfId="0" applyFont="1" applyAlignment="1">
      <alignment horizontal="center"/>
    </xf>
    <xf numFmtId="5" fontId="13" fillId="10" borderId="60" xfId="2" applyNumberFormat="1" applyFont="1" applyFill="1" applyBorder="1" applyAlignment="1">
      <alignment horizontal="right"/>
    </xf>
    <xf numFmtId="5" fontId="13" fillId="10" borderId="61" xfId="0" applyNumberFormat="1" applyFont="1" applyFill="1" applyBorder="1" applyAlignment="1">
      <alignment horizontal="right"/>
    </xf>
    <xf numFmtId="5" fontId="13" fillId="10" borderId="64" xfId="2" applyNumberFormat="1" applyFont="1" applyFill="1" applyBorder="1" applyAlignment="1">
      <alignment horizontal="right"/>
    </xf>
    <xf numFmtId="5" fontId="13" fillId="10" borderId="65" xfId="0" applyNumberFormat="1" applyFont="1" applyFill="1" applyBorder="1" applyAlignment="1">
      <alignment horizontal="right"/>
    </xf>
    <xf numFmtId="5" fontId="13" fillId="0" borderId="25" xfId="2" applyNumberFormat="1" applyFont="1" applyBorder="1"/>
    <xf numFmtId="5" fontId="13" fillId="0" borderId="35" xfId="0" applyNumberFormat="1" applyFont="1" applyBorder="1"/>
    <xf numFmtId="164" fontId="17" fillId="0" borderId="15" xfId="2" applyNumberFormat="1" applyFont="1" applyBorder="1" applyAlignment="1">
      <alignment horizontal="center" vertical="center" wrapText="1"/>
    </xf>
    <xf numFmtId="0" fontId="38" fillId="0" borderId="2" xfId="0" applyFont="1" applyBorder="1" applyAlignment="1">
      <alignment horizontal="center" vertical="center" wrapText="1"/>
    </xf>
    <xf numFmtId="0" fontId="13" fillId="0" borderId="31" xfId="0" applyFont="1" applyBorder="1" applyAlignment="1">
      <alignment horizontal="left"/>
    </xf>
    <xf numFmtId="0" fontId="13" fillId="0" borderId="27" xfId="0" applyFont="1" applyBorder="1" applyAlignment="1">
      <alignment horizontal="left"/>
    </xf>
    <xf numFmtId="0" fontId="13" fillId="0" borderId="0" xfId="0" applyFont="1" applyAlignment="1">
      <alignment horizontal="right" wrapText="1"/>
    </xf>
    <xf numFmtId="0" fontId="13" fillId="0" borderId="2" xfId="0" applyFont="1" applyBorder="1" applyAlignment="1">
      <alignment wrapText="1"/>
    </xf>
    <xf numFmtId="0" fontId="13" fillId="0" borderId="50" xfId="0" applyFont="1" applyBorder="1" applyAlignment="1">
      <alignment wrapText="1"/>
    </xf>
    <xf numFmtId="0" fontId="42" fillId="0" borderId="0" xfId="0" applyFont="1" applyAlignment="1">
      <alignment wrapText="1"/>
    </xf>
    <xf numFmtId="0" fontId="43" fillId="0" borderId="0" xfId="0" applyFont="1" applyAlignment="1">
      <alignment horizontal="center"/>
    </xf>
    <xf numFmtId="0" fontId="18" fillId="9" borderId="1" xfId="0" applyFont="1" applyFill="1" applyBorder="1" applyAlignment="1" applyProtection="1">
      <alignment horizontal="left" wrapText="1"/>
      <protection locked="0"/>
    </xf>
    <xf numFmtId="0" fontId="13" fillId="9" borderId="1" xfId="0" applyFont="1" applyFill="1" applyBorder="1" applyAlignment="1">
      <alignment horizontal="left" wrapText="1"/>
    </xf>
    <xf numFmtId="174" fontId="13" fillId="0" borderId="45" xfId="0" applyNumberFormat="1" applyFont="1" applyBorder="1" applyAlignment="1" applyProtection="1">
      <alignment horizontal="center" wrapText="1"/>
      <protection locked="0"/>
    </xf>
    <xf numFmtId="0" fontId="13" fillId="0" borderId="1" xfId="0" applyFont="1" applyBorder="1" applyAlignment="1">
      <alignment horizontal="center" wrapText="1"/>
    </xf>
    <xf numFmtId="0" fontId="13" fillId="0" borderId="20" xfId="0" applyFont="1" applyBorder="1" applyAlignment="1">
      <alignment wrapText="1"/>
    </xf>
    <xf numFmtId="0" fontId="13" fillId="0" borderId="65" xfId="0" applyFont="1" applyBorder="1" applyAlignment="1">
      <alignment wrapText="1"/>
    </xf>
    <xf numFmtId="0" fontId="17" fillId="0" borderId="2" xfId="0" applyFont="1" applyBorder="1" applyAlignment="1">
      <alignment horizontal="center" vertical="center" wrapText="1"/>
    </xf>
    <xf numFmtId="0" fontId="13" fillId="0" borderId="15" xfId="0" applyFont="1" applyBorder="1" applyAlignment="1">
      <alignment wrapText="1"/>
    </xf>
    <xf numFmtId="0" fontId="19" fillId="0" borderId="15" xfId="0" applyFont="1" applyBorder="1"/>
    <xf numFmtId="0" fontId="19" fillId="0" borderId="50" xfId="0" applyFont="1" applyBorder="1"/>
    <xf numFmtId="0" fontId="15" fillId="8" borderId="66" xfId="0" applyFont="1" applyFill="1" applyBorder="1" applyAlignment="1">
      <alignment horizontal="center" vertical="center"/>
    </xf>
    <xf numFmtId="0" fontId="15" fillId="8" borderId="67" xfId="0" applyFont="1" applyFill="1" applyBorder="1" applyAlignment="1">
      <alignment horizontal="center" vertical="center"/>
    </xf>
    <xf numFmtId="0" fontId="15" fillId="8" borderId="36" xfId="0" applyFont="1" applyFill="1" applyBorder="1" applyAlignment="1" applyProtection="1">
      <alignment horizontal="center" vertical="center"/>
      <protection locked="0"/>
    </xf>
    <xf numFmtId="0" fontId="15" fillId="8" borderId="8" xfId="0" applyFont="1" applyFill="1" applyBorder="1" applyAlignment="1" applyProtection="1">
      <alignment horizontal="center" vertical="center"/>
      <protection locked="0"/>
    </xf>
    <xf numFmtId="0" fontId="15" fillId="8" borderId="44" xfId="0" applyFont="1" applyFill="1" applyBorder="1" applyAlignment="1" applyProtection="1">
      <alignment horizontal="center" vertical="center"/>
      <protection locked="0"/>
    </xf>
    <xf numFmtId="0" fontId="15" fillId="8" borderId="32" xfId="0" applyFont="1" applyFill="1" applyBorder="1" applyAlignment="1" applyProtection="1">
      <alignment horizontal="center" vertical="center"/>
      <protection locked="0"/>
    </xf>
    <xf numFmtId="0" fontId="15" fillId="8" borderId="4" xfId="0" applyFont="1" applyFill="1" applyBorder="1" applyAlignment="1" applyProtection="1">
      <alignment horizontal="center" vertical="center"/>
      <protection locked="0"/>
    </xf>
    <xf numFmtId="0" fontId="15" fillId="8" borderId="5" xfId="0" applyFont="1" applyFill="1" applyBorder="1" applyAlignment="1" applyProtection="1">
      <alignment horizontal="center" vertical="center"/>
      <protection locked="0"/>
    </xf>
    <xf numFmtId="0" fontId="15" fillId="8" borderId="27" xfId="0" applyFont="1" applyFill="1" applyBorder="1" applyAlignment="1" applyProtection="1">
      <alignment horizontal="center" vertical="center"/>
      <protection locked="0"/>
    </xf>
    <xf numFmtId="0" fontId="15" fillId="8" borderId="38" xfId="0" applyFont="1" applyFill="1" applyBorder="1" applyAlignment="1" applyProtection="1">
      <alignment horizontal="center" vertical="center"/>
      <protection locked="0"/>
    </xf>
    <xf numFmtId="0" fontId="15" fillId="8" borderId="66" xfId="0" applyFont="1" applyFill="1" applyBorder="1" applyAlignment="1" applyProtection="1">
      <alignment horizontal="center" vertical="center"/>
      <protection locked="0"/>
    </xf>
    <xf numFmtId="0" fontId="15" fillId="8" borderId="67" xfId="0" applyFont="1" applyFill="1" applyBorder="1" applyAlignment="1" applyProtection="1">
      <alignment horizontal="center" vertical="center"/>
      <protection locked="0"/>
    </xf>
    <xf numFmtId="0" fontId="15" fillId="8" borderId="47" xfId="0" applyFont="1" applyFill="1" applyBorder="1" applyAlignment="1" applyProtection="1">
      <alignment horizontal="center"/>
      <protection locked="0"/>
    </xf>
    <xf numFmtId="0" fontId="15" fillId="8" borderId="49" xfId="0" applyFont="1" applyFill="1" applyBorder="1" applyAlignment="1" applyProtection="1">
      <alignment horizontal="center"/>
      <protection locked="0"/>
    </xf>
    <xf numFmtId="0" fontId="15" fillId="8" borderId="47" xfId="0" applyFont="1" applyFill="1" applyBorder="1" applyAlignment="1">
      <alignment horizontal="center"/>
    </xf>
    <xf numFmtId="0" fontId="15" fillId="8" borderId="49"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ill>
        <patternFill>
          <bgColor rgb="FFFF0000"/>
        </patternFill>
      </fill>
    </dxf>
    <dxf>
      <font>
        <color theme="0"/>
      </font>
      <fill>
        <patternFill>
          <bgColor rgb="FFFF0000"/>
        </patternFill>
      </fill>
    </dxf>
    <dxf>
      <fill>
        <patternFill>
          <bgColor rgb="FFFF0000"/>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cid:image001.jpg@01D5D2B9.FE4C1780" TargetMode="External"/><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314325</xdr:colOff>
      <xdr:row>23</xdr:row>
      <xdr:rowOff>85725</xdr:rowOff>
    </xdr:from>
    <xdr:to>
      <xdr:col>15</xdr:col>
      <xdr:colOff>352425</xdr:colOff>
      <xdr:row>39</xdr:row>
      <xdr:rowOff>19050</xdr:rowOff>
    </xdr:to>
    <xdr:pic>
      <xdr:nvPicPr>
        <xdr:cNvPr id="4307" name="Picture 1">
          <a:extLst>
            <a:ext uri="{FF2B5EF4-FFF2-40B4-BE49-F238E27FC236}">
              <a16:creationId xmlns:a16="http://schemas.microsoft.com/office/drawing/2014/main" id="{00000000-0008-0000-0300-0000D3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3819525"/>
          <a:ext cx="43053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323850</xdr:colOff>
      <xdr:row>39</xdr:row>
      <xdr:rowOff>133350</xdr:rowOff>
    </xdr:from>
    <xdr:to>
      <xdr:col>15</xdr:col>
      <xdr:colOff>409575</xdr:colOff>
      <xdr:row>42</xdr:row>
      <xdr:rowOff>114300</xdr:rowOff>
    </xdr:to>
    <xdr:pic>
      <xdr:nvPicPr>
        <xdr:cNvPr id="4308" name="Picture 3">
          <a:extLst>
            <a:ext uri="{FF2B5EF4-FFF2-40B4-BE49-F238E27FC236}">
              <a16:creationId xmlns:a16="http://schemas.microsoft.com/office/drawing/2014/main" id="{00000000-0008-0000-0300-0000D4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0" y="6457950"/>
          <a:ext cx="4352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3" name="Picture 2" descr="cid:image001.jpg@01D5D2B9.FE4C1780">
          <a:extLst>
            <a:ext uri="{FF2B5EF4-FFF2-40B4-BE49-F238E27FC236}">
              <a16:creationId xmlns:a16="http://schemas.microsoft.com/office/drawing/2014/main" id="{98A2FC48-521D-49C5-9358-B88BD73CAF0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CB0481A9-B87D-496B-BD24-E5FB1BD6497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8FB11704-F8F0-4038-B104-58B69E5E398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3" name="Picture 2" descr="cid:image001.jpg@01D5D2B9.FE4C1780">
          <a:extLst>
            <a:ext uri="{FF2B5EF4-FFF2-40B4-BE49-F238E27FC236}">
              <a16:creationId xmlns:a16="http://schemas.microsoft.com/office/drawing/2014/main" id="{F40B55FD-A3B9-45FA-944F-04E6BB1A57B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3" name="Picture 2" descr="cid:image001.jpg@01D5D2B9.FE4C1780">
          <a:extLst>
            <a:ext uri="{FF2B5EF4-FFF2-40B4-BE49-F238E27FC236}">
              <a16:creationId xmlns:a16="http://schemas.microsoft.com/office/drawing/2014/main" id="{D40A6631-7C63-4B42-A4CC-D9A2A835801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93E529EF-2390-46FF-8E6E-113D8090293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3" name="Picture 2" descr="cid:image001.jpg@01D5D2B9.FE4C1780">
          <a:extLst>
            <a:ext uri="{FF2B5EF4-FFF2-40B4-BE49-F238E27FC236}">
              <a16:creationId xmlns:a16="http://schemas.microsoft.com/office/drawing/2014/main" id="{4B0EBD39-84C0-484D-B0A3-CE3F654E69E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5B6A5186-17E4-428F-B439-D904B0D918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866775</xdr:colOff>
      <xdr:row>1</xdr:row>
      <xdr:rowOff>38100</xdr:rowOff>
    </xdr:from>
    <xdr:to>
      <xdr:col>7</xdr:col>
      <xdr:colOff>95250</xdr:colOff>
      <xdr:row>1</xdr:row>
      <xdr:rowOff>161925</xdr:rowOff>
    </xdr:to>
    <xdr:pic>
      <xdr:nvPicPr>
        <xdr:cNvPr id="2191" name="Picture 1" descr="PA Logo blue no bird">
          <a:extLst>
            <a:ext uri="{FF2B5EF4-FFF2-40B4-BE49-F238E27FC236}">
              <a16:creationId xmlns:a16="http://schemas.microsoft.com/office/drawing/2014/main" id="{00000000-0008-0000-0400-00008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4675" y="200025"/>
          <a:ext cx="1543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17318</xdr:colOff>
      <xdr:row>1</xdr:row>
      <xdr:rowOff>8660</xdr:rowOff>
    </xdr:from>
    <xdr:to>
      <xdr:col>3</xdr:col>
      <xdr:colOff>242454</xdr:colOff>
      <xdr:row>4</xdr:row>
      <xdr:rowOff>19116</xdr:rowOff>
    </xdr:to>
    <xdr:pic>
      <xdr:nvPicPr>
        <xdr:cNvPr id="3" name="Picture 2" descr="cid:image001.jpg@01D5D2B9.FE4C1780">
          <a:extLst>
            <a:ext uri="{FF2B5EF4-FFF2-40B4-BE49-F238E27FC236}">
              <a16:creationId xmlns:a16="http://schemas.microsoft.com/office/drawing/2014/main" id="{5F075862-2B22-40D3-A7F5-8B1C2908D36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5136" y="216478"/>
          <a:ext cx="1117023" cy="564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xdr:colOff>
      <xdr:row>32</xdr:row>
      <xdr:rowOff>85725</xdr:rowOff>
    </xdr:from>
    <xdr:to>
      <xdr:col>6</xdr:col>
      <xdr:colOff>600075</xdr:colOff>
      <xdr:row>35</xdr:row>
      <xdr:rowOff>114300</xdr:rowOff>
    </xdr:to>
    <xdr:cxnSp macro="">
      <xdr:nvCxnSpPr>
        <xdr:cNvPr id="6593" name="Curved Connector 2">
          <a:extLst>
            <a:ext uri="{FF2B5EF4-FFF2-40B4-BE49-F238E27FC236}">
              <a16:creationId xmlns:a16="http://schemas.microsoft.com/office/drawing/2014/main" id="{00000000-0008-0000-0600-0000C1190000}"/>
            </a:ext>
          </a:extLst>
        </xdr:cNvPr>
        <xdr:cNvCxnSpPr>
          <a:cxnSpLocks noChangeShapeType="1"/>
        </xdr:cNvCxnSpPr>
      </xdr:nvCxnSpPr>
      <xdr:spPr bwMode="auto">
        <a:xfrm flipV="1">
          <a:off x="4371975" y="5381625"/>
          <a:ext cx="561975" cy="542925"/>
        </a:xfrm>
        <a:prstGeom prst="curvedConnector3">
          <a:avLst>
            <a:gd name="adj1" fmla="val 50000"/>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3</xdr:col>
      <xdr:colOff>9525</xdr:colOff>
      <xdr:row>4</xdr:row>
      <xdr:rowOff>21713</xdr:rowOff>
    </xdr:to>
    <xdr:pic>
      <xdr:nvPicPr>
        <xdr:cNvPr id="4" name="Picture 3" descr="cid:image001.jpg@01D5D2B9.FE4C1780">
          <a:extLst>
            <a:ext uri="{FF2B5EF4-FFF2-40B4-BE49-F238E27FC236}">
              <a16:creationId xmlns:a16="http://schemas.microsoft.com/office/drawing/2014/main" id="{62EBC4E8-DBAB-420A-89B1-68834D07C2B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9550" y="209550"/>
          <a:ext cx="1076325" cy="564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537CA980-2F6C-4A27-9BA5-C86769E83A3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1977" y="164523"/>
          <a:ext cx="1117023" cy="564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3" name="Picture 2" descr="cid:image001.jpg@01D5D2B9.FE4C1780">
          <a:extLst>
            <a:ext uri="{FF2B5EF4-FFF2-40B4-BE49-F238E27FC236}">
              <a16:creationId xmlns:a16="http://schemas.microsoft.com/office/drawing/2014/main" id="{8CC575B1-FD77-429D-AA1E-0F6B0D0749E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3" name="Picture 2" descr="cid:image001.jpg@01D5D2B9.FE4C1780">
          <a:extLst>
            <a:ext uri="{FF2B5EF4-FFF2-40B4-BE49-F238E27FC236}">
              <a16:creationId xmlns:a16="http://schemas.microsoft.com/office/drawing/2014/main" id="{3F363FE5-681B-4BC2-86C3-73697808449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B4A8D8DD-7080-4C07-AB1C-29CF49933A8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536863</xdr:colOff>
      <xdr:row>1</xdr:row>
      <xdr:rowOff>0</xdr:rowOff>
    </xdr:from>
    <xdr:to>
      <xdr:col>5</xdr:col>
      <xdr:colOff>762000</xdr:colOff>
      <xdr:row>4</xdr:row>
      <xdr:rowOff>10456</xdr:rowOff>
    </xdr:to>
    <xdr:pic>
      <xdr:nvPicPr>
        <xdr:cNvPr id="4" name="Picture 3" descr="cid:image001.jpg@01D5D2B9.FE4C1780">
          <a:extLst>
            <a:ext uri="{FF2B5EF4-FFF2-40B4-BE49-F238E27FC236}">
              <a16:creationId xmlns:a16="http://schemas.microsoft.com/office/drawing/2014/main" id="{F7F29E91-BFB7-426A-8EF1-3A80831B79A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318038" y="161925"/>
          <a:ext cx="1120487" cy="60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9.bin"/><Relationship Id="rId4" Type="http://schemas.openxmlformats.org/officeDocument/2006/relationships/comments" Target="../comments14.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20.bin"/><Relationship Id="rId4" Type="http://schemas.openxmlformats.org/officeDocument/2006/relationships/comments" Target="../comments1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C60"/>
  <sheetViews>
    <sheetView tabSelected="1" zoomScale="110" zoomScaleNormal="110" workbookViewId="0">
      <selection activeCell="O25" sqref="O25"/>
    </sheetView>
  </sheetViews>
  <sheetFormatPr defaultColWidth="9.1796875" defaultRowHeight="14.5" x14ac:dyDescent="0.35"/>
  <cols>
    <col min="1" max="1" width="9.1796875" style="128"/>
    <col min="2" max="2" width="5.7265625" style="128" customWidth="1"/>
    <col min="3" max="3" width="2.453125" style="128" customWidth="1"/>
    <col min="4" max="4" width="11.81640625" style="128" customWidth="1"/>
    <col min="5" max="5" width="9.1796875" style="128"/>
    <col min="6" max="6" width="11.54296875" style="128" customWidth="1"/>
    <col min="7" max="8" width="9.1796875" style="128"/>
    <col min="9" max="9" width="10.7265625" style="128" customWidth="1"/>
    <col min="10" max="10" width="11" style="128" customWidth="1"/>
    <col min="11" max="11" width="18.1796875" style="128" customWidth="1"/>
    <col min="12" max="12" width="9.453125" style="128" bestFit="1" customWidth="1"/>
    <col min="13" max="13" width="11.7265625" style="128" customWidth="1"/>
    <col min="14" max="16" width="9.1796875" style="128"/>
    <col min="17" max="17" width="9.7265625" style="128" bestFit="1" customWidth="1"/>
    <col min="18" max="20" width="9.1796875" style="128"/>
    <col min="21" max="21" width="10.7265625" style="128" customWidth="1"/>
    <col min="22" max="16384" width="9.1796875" style="128"/>
  </cols>
  <sheetData>
    <row r="1" spans="2:29" x14ac:dyDescent="0.35">
      <c r="I1" s="302"/>
      <c r="J1" s="302"/>
      <c r="K1" s="302"/>
      <c r="L1" s="302"/>
      <c r="M1" s="302"/>
      <c r="N1" s="302"/>
      <c r="O1" s="302"/>
      <c r="P1" s="276" t="s">
        <v>224</v>
      </c>
      <c r="Q1" s="276" t="s">
        <v>223</v>
      </c>
      <c r="R1" s="276" t="s">
        <v>225</v>
      </c>
      <c r="S1" s="276"/>
      <c r="T1" s="276" t="s">
        <v>228</v>
      </c>
      <c r="U1" s="276" t="s">
        <v>229</v>
      </c>
      <c r="V1" s="301"/>
      <c r="W1" s="276" t="s">
        <v>231</v>
      </c>
      <c r="X1" s="276" t="s">
        <v>232</v>
      </c>
    </row>
    <row r="2" spans="2:29" ht="18.5" x14ac:dyDescent="0.45">
      <c r="B2" s="290" t="s">
        <v>263</v>
      </c>
      <c r="H2" s="369" t="s">
        <v>369</v>
      </c>
      <c r="M2" s="292" t="s">
        <v>191</v>
      </c>
      <c r="AA2" s="128" t="s">
        <v>298</v>
      </c>
    </row>
    <row r="3" spans="2:29" ht="18.5" x14ac:dyDescent="0.45">
      <c r="B3" s="290" t="s">
        <v>262</v>
      </c>
      <c r="L3" s="128" t="s">
        <v>392</v>
      </c>
      <c r="M3" s="251">
        <v>43956</v>
      </c>
      <c r="AA3" s="128" t="s">
        <v>299</v>
      </c>
    </row>
    <row r="4" spans="2:29" x14ac:dyDescent="0.35">
      <c r="AA4" s="128" t="s">
        <v>300</v>
      </c>
    </row>
    <row r="5" spans="2:29" ht="18.5" x14ac:dyDescent="0.45">
      <c r="B5" s="291" t="s">
        <v>363</v>
      </c>
      <c r="L5" s="251"/>
      <c r="M5" s="252"/>
      <c r="AA5" s="128" t="s">
        <v>163</v>
      </c>
    </row>
    <row r="6" spans="2:29" ht="15.5" x14ac:dyDescent="0.35">
      <c r="B6" s="291" t="s">
        <v>364</v>
      </c>
      <c r="AA6" s="128" t="s">
        <v>301</v>
      </c>
    </row>
    <row r="7" spans="2:29" x14ac:dyDescent="0.35">
      <c r="AA7" s="128" t="s">
        <v>390</v>
      </c>
    </row>
    <row r="8" spans="2:29" ht="15" thickBot="1" x14ac:dyDescent="0.4">
      <c r="D8" s="352" t="s">
        <v>1</v>
      </c>
      <c r="E8" s="383"/>
      <c r="F8" s="384"/>
      <c r="G8" s="384"/>
      <c r="H8" s="384"/>
      <c r="I8" s="384"/>
      <c r="J8" s="384"/>
      <c r="K8" s="384"/>
      <c r="AA8" s="128" t="s">
        <v>305</v>
      </c>
    </row>
    <row r="9" spans="2:29" x14ac:dyDescent="0.35">
      <c r="D9" s="346" t="s">
        <v>95</v>
      </c>
      <c r="E9" s="178"/>
      <c r="F9" s="249" t="s">
        <v>303</v>
      </c>
      <c r="G9" s="178"/>
      <c r="H9" s="178"/>
      <c r="I9" s="178"/>
      <c r="J9" s="178"/>
      <c r="K9" s="179"/>
      <c r="L9" s="1"/>
      <c r="M9" s="1"/>
      <c r="N9" s="1"/>
      <c r="O9" s="1"/>
      <c r="Q9" s="340"/>
      <c r="AA9" s="128" t="s">
        <v>306</v>
      </c>
    </row>
    <row r="10" spans="2:29" x14ac:dyDescent="0.35">
      <c r="D10" s="180"/>
      <c r="E10" s="181"/>
      <c r="F10" s="181"/>
      <c r="G10" s="181"/>
      <c r="H10" s="181"/>
      <c r="I10" s="181"/>
      <c r="J10" s="181"/>
      <c r="K10" s="182"/>
      <c r="L10" s="1"/>
      <c r="M10" s="1"/>
      <c r="N10" s="1"/>
      <c r="O10" s="1"/>
      <c r="Q10" s="340"/>
      <c r="AA10" s="128" t="s">
        <v>389</v>
      </c>
    </row>
    <row r="11" spans="2:29" ht="15" thickBot="1" x14ac:dyDescent="0.4">
      <c r="D11" s="180"/>
      <c r="E11" s="183" t="s">
        <v>368</v>
      </c>
      <c r="F11" s="199">
        <v>43983</v>
      </c>
      <c r="G11" s="298">
        <v>0.2</v>
      </c>
      <c r="H11" s="184" t="s">
        <v>100</v>
      </c>
      <c r="I11" s="181"/>
      <c r="J11" s="280" t="s">
        <v>232</v>
      </c>
      <c r="K11" s="182" t="s">
        <v>269</v>
      </c>
      <c r="L11" s="1"/>
      <c r="M11" s="202"/>
      <c r="N11" s="200"/>
      <c r="O11" s="1"/>
      <c r="Q11" s="340"/>
      <c r="AA11" s="128" t="s">
        <v>302</v>
      </c>
    </row>
    <row r="12" spans="2:29" x14ac:dyDescent="0.35">
      <c r="D12" s="180"/>
      <c r="E12" s="183" t="s">
        <v>96</v>
      </c>
      <c r="F12" s="199">
        <v>44044</v>
      </c>
      <c r="G12" s="201">
        <f>(1+F16)^(((F12+F13)/2-F11)/365)-1</f>
        <v>5.7432089451078694E-2</v>
      </c>
      <c r="H12" s="184" t="s">
        <v>185</v>
      </c>
      <c r="I12" s="181"/>
      <c r="J12" s="343">
        <f>IF(J11="No",IF(F15="Building",0.1,0.08),0)+IF(H19="TB&amp;T",0.02,0)</f>
        <v>0.12000000000000001</v>
      </c>
      <c r="K12" s="271" t="s">
        <v>280</v>
      </c>
      <c r="L12" s="1"/>
      <c r="M12" s="202"/>
      <c r="N12" s="200"/>
      <c r="AA12" s="375" t="str">
        <f>TEXT($F12,"mm/yy")</f>
        <v>08/20</v>
      </c>
      <c r="AB12" s="376">
        <f>ROUND(+J13,0)</f>
        <v>35</v>
      </c>
      <c r="AC12" s="377"/>
    </row>
    <row r="13" spans="2:29" ht="15" thickBot="1" x14ac:dyDescent="0.4">
      <c r="D13" s="180"/>
      <c r="E13" s="183" t="s">
        <v>97</v>
      </c>
      <c r="F13" s="199">
        <v>45107</v>
      </c>
      <c r="G13" s="270">
        <f>(F12+F13)/2</f>
        <v>44575.5</v>
      </c>
      <c r="H13" s="184" t="s">
        <v>184</v>
      </c>
      <c r="I13" s="181"/>
      <c r="J13" s="296">
        <f>(+F13-F12)/30.42</f>
        <v>34.944115713346484</v>
      </c>
      <c r="K13" s="271" t="s">
        <v>270</v>
      </c>
      <c r="L13" s="1"/>
      <c r="M13" s="1"/>
      <c r="N13" s="1"/>
      <c r="AA13" s="378" t="str">
        <f>TEXT($F13,"mm/yy")</f>
        <v>06/23</v>
      </c>
      <c r="AB13" s="379" t="str">
        <f>CONCATENATE(AA12," to ",AA13, ", ",AB12," mo")</f>
        <v>08/20 to 06/23, 35 mo</v>
      </c>
      <c r="AC13" s="380"/>
    </row>
    <row r="14" spans="2:29" x14ac:dyDescent="0.35">
      <c r="D14" s="180"/>
      <c r="E14" s="183" t="s">
        <v>226</v>
      </c>
      <c r="F14" s="280" t="s">
        <v>223</v>
      </c>
      <c r="G14" s="274">
        <v>12</v>
      </c>
      <c r="H14" s="184" t="s">
        <v>112</v>
      </c>
      <c r="I14" s="181"/>
      <c r="J14" s="304">
        <f>IF(F14="",0.2,IF(F14="NJ",0.15,0.2))</f>
        <v>0.2</v>
      </c>
      <c r="K14" s="271" t="s">
        <v>227</v>
      </c>
      <c r="L14" s="200"/>
      <c r="M14" s="1"/>
      <c r="N14" s="1"/>
      <c r="O14" s="1"/>
      <c r="AA14" s="128" t="s">
        <v>372</v>
      </c>
    </row>
    <row r="15" spans="2:29" x14ac:dyDescent="0.35">
      <c r="D15" s="180"/>
      <c r="E15" s="183" t="s">
        <v>230</v>
      </c>
      <c r="F15" s="274" t="s">
        <v>228</v>
      </c>
      <c r="G15" s="299">
        <f>IF(F15="",0.8,IF(F15="Building",0.08,0.06))</f>
        <v>0.08</v>
      </c>
      <c r="H15" s="184" t="s">
        <v>102</v>
      </c>
      <c r="I15" s="181"/>
      <c r="J15" s="280" t="s">
        <v>298</v>
      </c>
      <c r="K15" s="271" t="s">
        <v>297</v>
      </c>
      <c r="L15" s="1"/>
      <c r="M15" s="1"/>
      <c r="N15" s="1"/>
      <c r="O15" s="1"/>
      <c r="AA15" s="128" t="s">
        <v>373</v>
      </c>
    </row>
    <row r="16" spans="2:29" ht="15" thickBot="1" x14ac:dyDescent="0.4">
      <c r="D16" s="185"/>
      <c r="E16" s="186" t="s">
        <v>98</v>
      </c>
      <c r="F16" s="297">
        <v>3.5000000000000003E-2</v>
      </c>
      <c r="G16" s="285">
        <v>10000</v>
      </c>
      <c r="H16" s="222" t="s">
        <v>362</v>
      </c>
      <c r="I16" s="187"/>
      <c r="J16" s="331"/>
      <c r="K16" s="311"/>
      <c r="L16" s="1"/>
      <c r="M16" s="1"/>
      <c r="N16" s="200"/>
      <c r="O16" s="200"/>
      <c r="AA16" s="128" t="s">
        <v>374</v>
      </c>
    </row>
    <row r="17" spans="4:27" x14ac:dyDescent="0.35">
      <c r="D17" s="349" t="s">
        <v>327</v>
      </c>
      <c r="E17" s="274"/>
      <c r="F17" s="350"/>
      <c r="G17" s="351" t="s">
        <v>281</v>
      </c>
      <c r="H17" s="274"/>
      <c r="I17" s="181"/>
      <c r="J17" s="349" t="s">
        <v>174</v>
      </c>
      <c r="K17" s="348" t="s">
        <v>326</v>
      </c>
      <c r="L17" s="1"/>
      <c r="M17" s="1"/>
      <c r="N17" s="1"/>
      <c r="O17" s="1"/>
      <c r="AA17" s="128" t="s">
        <v>375</v>
      </c>
    </row>
    <row r="18" spans="4:27" x14ac:dyDescent="0.35">
      <c r="D18" s="349" t="s">
        <v>328</v>
      </c>
      <c r="E18" s="274"/>
      <c r="F18" s="350"/>
      <c r="G18" s="382" t="s">
        <v>371</v>
      </c>
      <c r="H18" s="181"/>
      <c r="I18" s="181"/>
      <c r="J18" s="349"/>
      <c r="K18" s="181"/>
      <c r="L18" s="1"/>
      <c r="M18" s="1"/>
      <c r="N18" s="1"/>
      <c r="O18" s="1"/>
      <c r="AA18" s="128" t="s">
        <v>376</v>
      </c>
    </row>
    <row r="19" spans="4:27" x14ac:dyDescent="0.35">
      <c r="D19" s="349" t="s">
        <v>88</v>
      </c>
      <c r="E19" s="274"/>
      <c r="F19" s="350"/>
      <c r="G19" s="382"/>
      <c r="H19" s="280" t="s">
        <v>372</v>
      </c>
      <c r="I19" s="181"/>
      <c r="J19" s="349" t="s">
        <v>162</v>
      </c>
      <c r="K19" s="181"/>
      <c r="L19" s="1"/>
      <c r="M19" s="1"/>
      <c r="N19" s="1"/>
      <c r="O19" s="1"/>
      <c r="AA19" s="128" t="s">
        <v>302</v>
      </c>
    </row>
    <row r="20" spans="4:27" x14ac:dyDescent="0.35">
      <c r="D20" s="349" t="s">
        <v>2</v>
      </c>
      <c r="E20" s="274"/>
      <c r="F20" s="350"/>
      <c r="G20" s="349" t="s">
        <v>3</v>
      </c>
      <c r="H20" s="274"/>
      <c r="I20" s="181"/>
      <c r="J20" s="349"/>
      <c r="K20" s="270"/>
      <c r="L20" s="1"/>
      <c r="M20" s="1"/>
      <c r="N20" s="1"/>
      <c r="O20" s="1"/>
    </row>
    <row r="21" spans="4:27" x14ac:dyDescent="0.35">
      <c r="D21" s="349" t="s">
        <v>394</v>
      </c>
      <c r="E21" s="274"/>
      <c r="F21" s="350"/>
      <c r="G21" s="349" t="s">
        <v>4</v>
      </c>
      <c r="H21" s="274"/>
      <c r="I21" s="181"/>
      <c r="J21" s="349" t="s">
        <v>325</v>
      </c>
      <c r="K21" s="274"/>
      <c r="L21" s="1"/>
      <c r="M21" s="1"/>
      <c r="N21" s="1"/>
      <c r="O21" s="1"/>
    </row>
    <row r="22" spans="4:27" x14ac:dyDescent="0.35">
      <c r="D22" s="349" t="s">
        <v>151</v>
      </c>
      <c r="E22" s="274"/>
      <c r="F22" s="350"/>
      <c r="G22" s="349" t="s">
        <v>5</v>
      </c>
      <c r="H22" s="274"/>
      <c r="I22" s="181"/>
      <c r="J22" s="181"/>
      <c r="K22" s="181"/>
      <c r="L22" s="1"/>
      <c r="M22" s="1"/>
      <c r="N22" s="1"/>
      <c r="O22" s="1"/>
    </row>
    <row r="23" spans="4:27" x14ac:dyDescent="0.35">
      <c r="D23" s="1"/>
      <c r="E23" s="1"/>
      <c r="F23" s="1"/>
      <c r="G23" s="1"/>
      <c r="H23" s="1"/>
      <c r="I23" s="1"/>
      <c r="J23" s="1"/>
      <c r="K23" s="1"/>
      <c r="L23" s="1"/>
      <c r="M23" s="1"/>
      <c r="N23" s="1"/>
      <c r="O23" s="1"/>
    </row>
    <row r="24" spans="4:27" x14ac:dyDescent="0.35">
      <c r="D24" s="1"/>
      <c r="E24" s="1"/>
      <c r="F24" s="1"/>
      <c r="G24" s="1"/>
      <c r="H24" s="1"/>
      <c r="I24" s="1"/>
      <c r="J24" s="1"/>
      <c r="K24" s="1"/>
      <c r="L24" s="1"/>
      <c r="M24" s="1"/>
      <c r="N24" s="1"/>
      <c r="O24" s="1"/>
    </row>
    <row r="25" spans="4:27" x14ac:dyDescent="0.35">
      <c r="D25" s="64" t="s">
        <v>329</v>
      </c>
      <c r="E25" s="1"/>
      <c r="F25" s="1"/>
      <c r="G25" s="1"/>
      <c r="H25" s="1"/>
      <c r="I25" s="1"/>
      <c r="J25" s="1"/>
      <c r="K25" s="1"/>
      <c r="L25" s="1"/>
      <c r="M25" s="1"/>
      <c r="N25" s="1"/>
      <c r="O25" s="1"/>
    </row>
    <row r="26" spans="4:27" x14ac:dyDescent="0.35">
      <c r="D26" s="1"/>
      <c r="E26" s="1"/>
      <c r="F26" s="1"/>
      <c r="G26" s="1"/>
      <c r="H26" s="1"/>
      <c r="I26" s="1"/>
      <c r="J26" s="1"/>
      <c r="K26" s="1"/>
      <c r="L26" s="1"/>
      <c r="M26" s="1"/>
      <c r="N26" s="1"/>
      <c r="O26" s="1"/>
    </row>
    <row r="27" spans="4:27" x14ac:dyDescent="0.35">
      <c r="D27" s="1" t="s">
        <v>271</v>
      </c>
      <c r="E27" s="1"/>
      <c r="F27" s="1"/>
      <c r="G27" s="1"/>
      <c r="H27" s="1"/>
      <c r="I27" s="1"/>
      <c r="J27" s="1"/>
      <c r="K27" s="1"/>
      <c r="L27" s="1"/>
      <c r="M27" s="1"/>
      <c r="N27" s="1"/>
      <c r="O27" s="1"/>
    </row>
    <row r="28" spans="4:27" x14ac:dyDescent="0.35">
      <c r="D28" s="1" t="s">
        <v>365</v>
      </c>
      <c r="E28" s="1"/>
      <c r="F28" s="1"/>
      <c r="G28" s="1"/>
      <c r="H28" s="1"/>
      <c r="I28" s="1"/>
      <c r="J28" s="63"/>
      <c r="K28" s="274"/>
      <c r="L28" s="1"/>
      <c r="M28" s="1"/>
      <c r="N28" s="1"/>
      <c r="O28" s="1"/>
    </row>
    <row r="29" spans="4:27" x14ac:dyDescent="0.35">
      <c r="D29" s="1"/>
      <c r="E29" s="1"/>
      <c r="F29" s="1"/>
      <c r="G29" s="1"/>
      <c r="H29" s="1"/>
      <c r="I29" s="1"/>
      <c r="J29" s="1"/>
      <c r="K29" s="1"/>
      <c r="L29" s="1"/>
      <c r="M29" s="1"/>
      <c r="N29" s="1"/>
      <c r="O29" s="1"/>
    </row>
    <row r="30" spans="4:27" x14ac:dyDescent="0.35">
      <c r="D30" s="1" t="s">
        <v>395</v>
      </c>
      <c r="E30" s="1"/>
      <c r="F30" s="1"/>
      <c r="G30" s="1"/>
      <c r="H30" s="1"/>
      <c r="I30" s="1"/>
      <c r="J30" s="1"/>
      <c r="K30" s="1"/>
      <c r="L30" s="1"/>
      <c r="M30" s="1"/>
      <c r="N30" s="1"/>
      <c r="O30" s="1"/>
    </row>
    <row r="31" spans="4:27" x14ac:dyDescent="0.35">
      <c r="D31" s="1"/>
      <c r="E31" s="1"/>
      <c r="F31" s="1"/>
      <c r="G31" s="1"/>
      <c r="H31" s="1"/>
      <c r="I31" s="1"/>
      <c r="J31" s="1"/>
      <c r="K31" s="1"/>
      <c r="L31" s="1"/>
      <c r="M31" s="1"/>
      <c r="N31" s="1"/>
      <c r="O31" s="1"/>
    </row>
    <row r="32" spans="4:27" x14ac:dyDescent="0.35">
      <c r="D32" s="337" t="s">
        <v>289</v>
      </c>
    </row>
    <row r="33" spans="4:4" x14ac:dyDescent="0.35">
      <c r="D33" s="1" t="s">
        <v>290</v>
      </c>
    </row>
    <row r="34" spans="4:4" x14ac:dyDescent="0.35">
      <c r="D34" s="1" t="s">
        <v>304</v>
      </c>
    </row>
    <row r="35" spans="4:4" x14ac:dyDescent="0.35">
      <c r="D35" s="1"/>
    </row>
    <row r="36" spans="4:4" x14ac:dyDescent="0.35">
      <c r="D36" s="1" t="s">
        <v>293</v>
      </c>
    </row>
    <row r="37" spans="4:4" x14ac:dyDescent="0.35">
      <c r="D37" s="1" t="s">
        <v>366</v>
      </c>
    </row>
    <row r="38" spans="4:4" x14ac:dyDescent="0.35">
      <c r="D38" s="1"/>
    </row>
    <row r="39" spans="4:4" x14ac:dyDescent="0.35">
      <c r="D39" s="1" t="s">
        <v>294</v>
      </c>
    </row>
    <row r="40" spans="4:4" x14ac:dyDescent="0.35">
      <c r="D40" s="1" t="s">
        <v>295</v>
      </c>
    </row>
    <row r="41" spans="4:4" x14ac:dyDescent="0.35">
      <c r="D41" s="1" t="s">
        <v>370</v>
      </c>
    </row>
    <row r="42" spans="4:4" x14ac:dyDescent="0.35">
      <c r="D42" s="1"/>
    </row>
    <row r="43" spans="4:4" x14ac:dyDescent="0.35">
      <c r="D43" s="1"/>
    </row>
    <row r="44" spans="4:4" x14ac:dyDescent="0.35">
      <c r="D44" s="1"/>
    </row>
    <row r="45" spans="4:4" x14ac:dyDescent="0.35">
      <c r="D45" s="1"/>
    </row>
    <row r="46" spans="4:4" x14ac:dyDescent="0.35">
      <c r="D46" s="1"/>
    </row>
    <row r="47" spans="4:4" x14ac:dyDescent="0.35">
      <c r="D47" s="1"/>
    </row>
    <row r="48" spans="4:4" x14ac:dyDescent="0.35">
      <c r="D48" s="1"/>
    </row>
    <row r="49" spans="4:4" x14ac:dyDescent="0.35">
      <c r="D49" s="1"/>
    </row>
    <row r="50" spans="4:4" x14ac:dyDescent="0.35">
      <c r="D50" s="1"/>
    </row>
    <row r="51" spans="4:4" x14ac:dyDescent="0.35">
      <c r="D51" s="1"/>
    </row>
    <row r="52" spans="4:4" x14ac:dyDescent="0.35">
      <c r="D52" s="1"/>
    </row>
    <row r="53" spans="4:4" x14ac:dyDescent="0.35">
      <c r="D53" s="1"/>
    </row>
    <row r="54" spans="4:4" x14ac:dyDescent="0.35">
      <c r="D54" s="1"/>
    </row>
    <row r="55" spans="4:4" x14ac:dyDescent="0.35">
      <c r="D55" s="1"/>
    </row>
    <row r="56" spans="4:4" x14ac:dyDescent="0.35">
      <c r="D56" s="1"/>
    </row>
    <row r="57" spans="4:4" x14ac:dyDescent="0.35">
      <c r="D57" s="1"/>
    </row>
    <row r="58" spans="4:4" x14ac:dyDescent="0.35">
      <c r="D58" s="1"/>
    </row>
    <row r="59" spans="4:4" x14ac:dyDescent="0.35">
      <c r="D59" s="1"/>
    </row>
    <row r="60" spans="4:4" x14ac:dyDescent="0.35">
      <c r="D60" s="1"/>
    </row>
  </sheetData>
  <mergeCells count="2">
    <mergeCell ref="G18:G19"/>
    <mergeCell ref="E8:K8"/>
  </mergeCells>
  <dataValidations count="5">
    <dataValidation type="list" allowBlank="1" showInputMessage="1" showErrorMessage="1" promptTitle="Select State" sqref="F14" xr:uid="{00000000-0002-0000-0000-000000000000}">
      <formula1>$P$1:$R$1</formula1>
    </dataValidation>
    <dataValidation type="list" allowBlank="1" showInputMessage="1" showErrorMessage="1" sqref="F15" xr:uid="{00000000-0002-0000-0000-000001000000}">
      <formula1>$T$1:$U$1</formula1>
    </dataValidation>
    <dataValidation type="list" allowBlank="1" showInputMessage="1" showErrorMessage="1" sqref="J11" xr:uid="{00000000-0002-0000-0000-000002000000}">
      <formula1>$W$1:$X$1</formula1>
    </dataValidation>
    <dataValidation type="list" showInputMessage="1" showErrorMessage="1" sqref="J15" xr:uid="{00000000-0002-0000-0000-000003000000}">
      <formula1>$AA$2:$AA$11</formula1>
    </dataValidation>
    <dataValidation type="list" allowBlank="1" showInputMessage="1" showErrorMessage="1" sqref="H19" xr:uid="{F7FEAC16-3997-440B-8193-ABD4E27C9D2B}">
      <formula1>$AA$14:$AA$19</formula1>
    </dataValidation>
  </dataValidations>
  <pageMargins left="0.7" right="0.7" top="0.75" bottom="0.75" header="0.3" footer="0.3"/>
  <pageSetup scale="8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8" width="10" style="1" bestFit="1" customWidth="1"/>
    <col min="9" max="9" width="9.1796875" style="1"/>
    <col min="10" max="11" width="10.1796875" style="1" customWidth="1"/>
    <col min="12" max="12" width="11.54296875" style="1" customWidth="1"/>
    <col min="13" max="13" width="5.81640625" style="1" customWidth="1"/>
    <col min="14" max="14" width="30.7265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44</v>
      </c>
      <c r="D12" s="40"/>
      <c r="E12" s="41"/>
      <c r="F12" s="168"/>
      <c r="G12" s="168"/>
      <c r="H12" s="169"/>
      <c r="I12" s="169"/>
      <c r="J12" s="105">
        <f t="shared" si="0"/>
        <v>0</v>
      </c>
      <c r="K12" s="105">
        <f t="shared" si="1"/>
        <v>0</v>
      </c>
      <c r="L12" s="105">
        <f>J12+K12</f>
        <v>0</v>
      </c>
      <c r="M12" s="170"/>
      <c r="N12" s="41"/>
    </row>
    <row r="13" spans="2:14" x14ac:dyDescent="0.3">
      <c r="B13" s="167"/>
      <c r="C13" s="39"/>
      <c r="D13" s="40" t="s">
        <v>234</v>
      </c>
      <c r="E13" s="41"/>
      <c r="F13" s="168">
        <v>300</v>
      </c>
      <c r="G13" s="168" t="s">
        <v>236</v>
      </c>
      <c r="H13" s="169">
        <v>300</v>
      </c>
      <c r="I13" s="169">
        <v>61</v>
      </c>
      <c r="J13" s="105">
        <f t="shared" si="0"/>
        <v>90000</v>
      </c>
      <c r="K13" s="105">
        <f t="shared" si="1"/>
        <v>18300</v>
      </c>
      <c r="L13" s="105">
        <f>J13+K13</f>
        <v>108300</v>
      </c>
      <c r="M13" s="170"/>
      <c r="N13" s="41"/>
    </row>
    <row r="14" spans="2:14" x14ac:dyDescent="0.3">
      <c r="B14" s="167"/>
      <c r="C14" s="39"/>
      <c r="D14" s="40" t="s">
        <v>235</v>
      </c>
      <c r="E14" s="41"/>
      <c r="F14" s="168">
        <v>150</v>
      </c>
      <c r="G14" s="168" t="s">
        <v>236</v>
      </c>
      <c r="H14" s="169">
        <v>60</v>
      </c>
      <c r="I14" s="169">
        <v>601</v>
      </c>
      <c r="J14" s="105">
        <f t="shared" si="0"/>
        <v>9000</v>
      </c>
      <c r="K14" s="105">
        <f t="shared" si="1"/>
        <v>90150</v>
      </c>
      <c r="L14" s="105">
        <f>J14+K14</f>
        <v>99150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99000</v>
      </c>
      <c r="K30" s="105">
        <f>SUM(K10:K29)</f>
        <v>108450</v>
      </c>
      <c r="L30" s="105">
        <f>SUM(L10:L29)</f>
        <v>207450</v>
      </c>
      <c r="M30" s="170"/>
      <c r="N30" s="41"/>
    </row>
    <row r="31" spans="2:14" x14ac:dyDescent="0.3">
      <c r="B31" s="167"/>
      <c r="C31" s="39"/>
      <c r="D31" s="40" t="s">
        <v>220</v>
      </c>
      <c r="E31" s="41"/>
      <c r="F31" s="277">
        <v>0.1</v>
      </c>
      <c r="G31" s="272"/>
      <c r="H31" s="169"/>
      <c r="I31" s="169"/>
      <c r="J31" s="105"/>
      <c r="K31" s="105">
        <f>+K30*F31</f>
        <v>10845</v>
      </c>
      <c r="L31" s="105">
        <f>J31+K31</f>
        <v>10845</v>
      </c>
      <c r="M31" s="170" t="s">
        <v>221</v>
      </c>
      <c r="N31" s="41"/>
    </row>
    <row r="32" spans="2:14" x14ac:dyDescent="0.3">
      <c r="B32" s="167"/>
      <c r="C32" s="39"/>
      <c r="D32" s="40" t="s">
        <v>219</v>
      </c>
      <c r="E32" s="41"/>
      <c r="F32" s="293"/>
      <c r="G32" s="168"/>
      <c r="H32" s="169"/>
      <c r="I32" s="169"/>
      <c r="J32" s="105"/>
      <c r="K32" s="105"/>
      <c r="L32" s="105">
        <f>+L31+L30</f>
        <v>218295</v>
      </c>
      <c r="M32" s="170"/>
      <c r="N32" s="41"/>
    </row>
    <row r="33" spans="2:14" x14ac:dyDescent="0.3">
      <c r="B33" s="167"/>
      <c r="C33" s="39"/>
      <c r="D33" s="40" t="s">
        <v>222</v>
      </c>
      <c r="E33" s="41"/>
      <c r="F33" s="294">
        <f>+'INSTRUCTIONS and DATA'!J14</f>
        <v>0.2</v>
      </c>
      <c r="G33" s="168"/>
      <c r="H33" s="169"/>
      <c r="I33" s="169"/>
      <c r="J33" s="105"/>
      <c r="K33" s="105"/>
      <c r="L33" s="105">
        <f>+L32*F33</f>
        <v>43659</v>
      </c>
      <c r="M33" s="170"/>
      <c r="N33" s="41"/>
    </row>
    <row r="34" spans="2:14" x14ac:dyDescent="0.3">
      <c r="B34" s="167"/>
      <c r="C34" s="39"/>
      <c r="D34" s="260" t="s">
        <v>217</v>
      </c>
      <c r="E34" s="261"/>
      <c r="F34" s="275"/>
      <c r="G34" s="262"/>
      <c r="H34" s="275"/>
      <c r="I34" s="275"/>
      <c r="J34" s="278"/>
      <c r="K34" s="278"/>
      <c r="L34" s="279">
        <f>+L33+L32</f>
        <v>261954</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1" right="1" top="1" bottom="1" header="0.5" footer="0.5"/>
  <pageSetup scale="77" orientation="landscape" r:id="rId1"/>
  <headerFooter alignWithMargins="0">
    <oddHeader>&amp;A</oddHeader>
    <oddFooter>Page &amp;P</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41"/>
  <sheetViews>
    <sheetView topLeftCell="A11" zoomScale="110" zoomScaleNormal="110" workbookViewId="0">
      <selection activeCell="A23" sqref="A23:XFD33"/>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5.81640625" style="1" customWidth="1"/>
    <col min="8" max="8" width="10" style="1" bestFit="1" customWidth="1"/>
    <col min="9"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c r="K10" s="105"/>
      <c r="L10" s="105"/>
      <c r="M10" s="170"/>
      <c r="N10" s="41"/>
    </row>
    <row r="11" spans="2:14" x14ac:dyDescent="0.3">
      <c r="B11" s="167"/>
      <c r="C11" s="39"/>
      <c r="D11" s="40"/>
      <c r="E11" s="41"/>
      <c r="F11" s="168"/>
      <c r="G11" s="168"/>
      <c r="H11" s="169"/>
      <c r="I11" s="169"/>
      <c r="J11" s="105"/>
      <c r="K11" s="105"/>
      <c r="L11" s="105"/>
      <c r="M11" s="170"/>
      <c r="N11" s="41"/>
    </row>
    <row r="12" spans="2:14" x14ac:dyDescent="0.3">
      <c r="B12" s="167"/>
      <c r="C12" s="344" t="s">
        <v>339</v>
      </c>
      <c r="D12" s="40"/>
      <c r="E12" s="41"/>
      <c r="F12" s="168"/>
      <c r="G12" s="168"/>
      <c r="H12" s="169"/>
      <c r="I12" s="169"/>
      <c r="J12" s="105">
        <f t="shared" ref="J12:J14" si="0">+F12*H12</f>
        <v>0</v>
      </c>
      <c r="K12" s="105">
        <f t="shared" ref="K12:K14" si="1">+F12*I12</f>
        <v>0</v>
      </c>
      <c r="L12" s="105">
        <f t="shared" ref="L12:L25" si="2">J12+K12</f>
        <v>0</v>
      </c>
      <c r="M12" s="170"/>
      <c r="N12" s="41"/>
    </row>
    <row r="13" spans="2:14" x14ac:dyDescent="0.3">
      <c r="B13" s="167"/>
      <c r="C13" s="39"/>
      <c r="D13" s="40" t="s">
        <v>237</v>
      </c>
      <c r="E13" s="41"/>
      <c r="F13" s="168">
        <v>10</v>
      </c>
      <c r="G13" s="168" t="s">
        <v>236</v>
      </c>
      <c r="H13" s="169">
        <v>4</v>
      </c>
      <c r="I13" s="169">
        <v>4</v>
      </c>
      <c r="J13" s="105">
        <f t="shared" si="0"/>
        <v>40</v>
      </c>
      <c r="K13" s="105">
        <f t="shared" si="1"/>
        <v>40</v>
      </c>
      <c r="L13" s="105">
        <f t="shared" si="2"/>
        <v>80</v>
      </c>
      <c r="M13" s="170"/>
      <c r="N13" s="41"/>
    </row>
    <row r="14" spans="2:14" x14ac:dyDescent="0.3">
      <c r="B14" s="167"/>
      <c r="C14" s="39"/>
      <c r="D14" s="40" t="s">
        <v>238</v>
      </c>
      <c r="E14" s="41"/>
      <c r="F14" s="168">
        <v>100</v>
      </c>
      <c r="G14" s="168" t="s">
        <v>236</v>
      </c>
      <c r="H14" s="169">
        <v>40</v>
      </c>
      <c r="I14" s="169">
        <v>6</v>
      </c>
      <c r="J14" s="105">
        <f t="shared" si="0"/>
        <v>4000</v>
      </c>
      <c r="K14" s="105">
        <f t="shared" si="1"/>
        <v>600</v>
      </c>
      <c r="L14" s="105">
        <f t="shared" si="2"/>
        <v>4600</v>
      </c>
      <c r="M14" s="170"/>
      <c r="N14" s="41"/>
    </row>
    <row r="15" spans="2:14" x14ac:dyDescent="0.3">
      <c r="B15" s="167"/>
      <c r="C15" s="39"/>
      <c r="D15" s="40"/>
      <c r="E15" s="41"/>
      <c r="F15" s="168"/>
      <c r="G15" s="168"/>
      <c r="H15" s="169"/>
      <c r="I15" s="169"/>
      <c r="J15" s="105"/>
      <c r="K15" s="105"/>
      <c r="L15" s="105"/>
      <c r="M15" s="170"/>
      <c r="N15" s="41"/>
    </row>
    <row r="16" spans="2:14" x14ac:dyDescent="0.3">
      <c r="B16" s="167"/>
      <c r="C16" s="39"/>
      <c r="D16" s="40" t="s">
        <v>379</v>
      </c>
      <c r="E16" s="41"/>
      <c r="F16" s="105"/>
      <c r="G16" s="168"/>
      <c r="H16" s="107"/>
      <c r="I16" s="169"/>
      <c r="J16" s="105">
        <f>SUM(J12:J15)</f>
        <v>4040</v>
      </c>
      <c r="K16" s="105">
        <f t="shared" ref="K16:L16" si="3">SUM(K12:K15)</f>
        <v>640</v>
      </c>
      <c r="L16" s="105">
        <f t="shared" si="3"/>
        <v>4680</v>
      </c>
      <c r="M16" s="170"/>
      <c r="N16" s="41"/>
    </row>
    <row r="17" spans="2:14" x14ac:dyDescent="0.3">
      <c r="B17" s="167"/>
      <c r="C17" s="39"/>
      <c r="D17" s="40" t="s">
        <v>220</v>
      </c>
      <c r="E17" s="41"/>
      <c r="F17" s="277">
        <v>0.1</v>
      </c>
      <c r="G17" s="272"/>
      <c r="H17" s="169"/>
      <c r="I17" s="169"/>
      <c r="J17" s="105"/>
      <c r="K17" s="105">
        <f>+K16*F17</f>
        <v>64</v>
      </c>
      <c r="L17" s="105">
        <f>J17+K17</f>
        <v>64</v>
      </c>
      <c r="M17" s="170" t="s">
        <v>221</v>
      </c>
      <c r="N17" s="41"/>
    </row>
    <row r="18" spans="2:14" x14ac:dyDescent="0.3">
      <c r="B18" s="167"/>
      <c r="C18" s="39"/>
      <c r="D18" s="40" t="s">
        <v>219</v>
      </c>
      <c r="E18" s="41"/>
      <c r="F18" s="107"/>
      <c r="G18" s="168"/>
      <c r="H18" s="169"/>
      <c r="I18" s="169"/>
      <c r="J18" s="105"/>
      <c r="K18" s="105"/>
      <c r="L18" s="105">
        <f>+L17+L16</f>
        <v>4744</v>
      </c>
      <c r="M18" s="170"/>
      <c r="N18" s="41"/>
    </row>
    <row r="19" spans="2:14" x14ac:dyDescent="0.3">
      <c r="B19" s="167"/>
      <c r="C19" s="39"/>
      <c r="D19" s="40" t="s">
        <v>222</v>
      </c>
      <c r="E19" s="41"/>
      <c r="F19" s="374">
        <f>+'INSTRUCTIONS and DATA'!J14</f>
        <v>0.2</v>
      </c>
      <c r="G19" s="168"/>
      <c r="H19" s="169"/>
      <c r="I19" s="169"/>
      <c r="J19" s="105"/>
      <c r="K19" s="105"/>
      <c r="L19" s="105">
        <f>+L18*F19</f>
        <v>948.80000000000007</v>
      </c>
      <c r="M19" s="170"/>
      <c r="N19" s="41"/>
    </row>
    <row r="20" spans="2:14" x14ac:dyDescent="0.3">
      <c r="B20" s="167"/>
      <c r="C20" s="39"/>
      <c r="D20" s="260" t="s">
        <v>380</v>
      </c>
      <c r="E20" s="261"/>
      <c r="F20" s="275"/>
      <c r="G20" s="262"/>
      <c r="H20" s="275"/>
      <c r="I20" s="275"/>
      <c r="J20" s="278"/>
      <c r="K20" s="278"/>
      <c r="L20" s="279">
        <f>+L19+L18</f>
        <v>5692.8</v>
      </c>
      <c r="M20" s="170"/>
      <c r="N20" s="41"/>
    </row>
    <row r="21" spans="2:14" x14ac:dyDescent="0.3">
      <c r="B21" s="167"/>
      <c r="C21" s="39"/>
      <c r="D21" s="40"/>
      <c r="E21" s="41"/>
      <c r="F21" s="168"/>
      <c r="G21" s="168"/>
      <c r="H21" s="169"/>
      <c r="I21" s="169"/>
      <c r="J21" s="105"/>
      <c r="K21" s="105"/>
      <c r="L21" s="105"/>
      <c r="M21" s="170"/>
      <c r="N21" s="41"/>
    </row>
    <row r="22" spans="2:14" x14ac:dyDescent="0.3">
      <c r="B22" s="167"/>
      <c r="C22" s="39"/>
      <c r="D22" s="40"/>
      <c r="E22" s="41"/>
      <c r="F22" s="168"/>
      <c r="G22" s="168"/>
      <c r="H22" s="169"/>
      <c r="I22" s="169"/>
      <c r="J22" s="105"/>
      <c r="K22" s="105"/>
      <c r="L22" s="105"/>
      <c r="M22" s="170"/>
      <c r="N22" s="41"/>
    </row>
    <row r="23" spans="2:14" x14ac:dyDescent="0.3">
      <c r="B23" s="167"/>
      <c r="C23" s="344" t="s">
        <v>340</v>
      </c>
      <c r="D23" s="40"/>
      <c r="E23" s="41"/>
      <c r="F23" s="168"/>
      <c r="G23" s="168"/>
      <c r="H23" s="169"/>
      <c r="I23" s="169"/>
      <c r="J23" s="105">
        <f t="shared" ref="J23:J25" si="4">+F23*H23</f>
        <v>0</v>
      </c>
      <c r="K23" s="105">
        <f t="shared" ref="K23:K25" si="5">+F23*I23</f>
        <v>0</v>
      </c>
      <c r="L23" s="105">
        <f t="shared" si="2"/>
        <v>0</v>
      </c>
      <c r="M23" s="170"/>
      <c r="N23" s="41"/>
    </row>
    <row r="24" spans="2:14" x14ac:dyDescent="0.3">
      <c r="B24" s="167"/>
      <c r="C24" s="39"/>
      <c r="D24" s="40" t="s">
        <v>341</v>
      </c>
      <c r="E24" s="41"/>
      <c r="F24" s="168">
        <v>11</v>
      </c>
      <c r="G24" s="168" t="s">
        <v>236</v>
      </c>
      <c r="H24" s="169">
        <v>4</v>
      </c>
      <c r="I24" s="169">
        <v>4</v>
      </c>
      <c r="J24" s="105">
        <f t="shared" si="4"/>
        <v>44</v>
      </c>
      <c r="K24" s="105">
        <f t="shared" si="5"/>
        <v>44</v>
      </c>
      <c r="L24" s="105">
        <f t="shared" si="2"/>
        <v>88</v>
      </c>
      <c r="M24" s="170"/>
      <c r="N24" s="41"/>
    </row>
    <row r="25" spans="2:14" x14ac:dyDescent="0.3">
      <c r="B25" s="167"/>
      <c r="C25" s="39"/>
      <c r="D25" s="40" t="s">
        <v>342</v>
      </c>
      <c r="E25" s="41"/>
      <c r="F25" s="168">
        <v>111</v>
      </c>
      <c r="G25" s="168" t="s">
        <v>236</v>
      </c>
      <c r="H25" s="169">
        <v>40</v>
      </c>
      <c r="I25" s="169">
        <v>6</v>
      </c>
      <c r="J25" s="105">
        <f t="shared" si="4"/>
        <v>4440</v>
      </c>
      <c r="K25" s="105">
        <f t="shared" si="5"/>
        <v>666</v>
      </c>
      <c r="L25" s="105">
        <f t="shared" si="2"/>
        <v>5106</v>
      </c>
      <c r="M25" s="170"/>
      <c r="N25" s="41"/>
    </row>
    <row r="26" spans="2:14" x14ac:dyDescent="0.3">
      <c r="B26" s="167"/>
      <c r="C26" s="39"/>
      <c r="D26" s="40"/>
      <c r="E26" s="41"/>
      <c r="F26" s="168"/>
      <c r="G26" s="168"/>
      <c r="H26" s="169"/>
      <c r="I26" s="169"/>
      <c r="J26" s="105"/>
      <c r="K26" s="105"/>
      <c r="L26" s="105"/>
      <c r="M26" s="170"/>
      <c r="N26" s="41"/>
    </row>
    <row r="27" spans="2:14" x14ac:dyDescent="0.3">
      <c r="B27" s="167"/>
      <c r="C27" s="39"/>
      <c r="D27" s="40" t="s">
        <v>381</v>
      </c>
      <c r="E27" s="41"/>
      <c r="F27" s="105"/>
      <c r="G27" s="168"/>
      <c r="H27" s="107"/>
      <c r="I27" s="169"/>
      <c r="J27" s="105">
        <f>SUM(J23:J26)</f>
        <v>4484</v>
      </c>
      <c r="K27" s="105">
        <f t="shared" ref="K27:L27" si="6">SUM(K23:K26)</f>
        <v>710</v>
      </c>
      <c r="L27" s="105">
        <f t="shared" si="6"/>
        <v>5194</v>
      </c>
      <c r="M27" s="170"/>
      <c r="N27" s="41"/>
    </row>
    <row r="28" spans="2:14" x14ac:dyDescent="0.3">
      <c r="B28" s="167"/>
      <c r="C28" s="39"/>
      <c r="D28" s="40" t="s">
        <v>220</v>
      </c>
      <c r="E28" s="41"/>
      <c r="F28" s="277">
        <v>0.1</v>
      </c>
      <c r="G28" s="272"/>
      <c r="H28" s="169"/>
      <c r="I28" s="169"/>
      <c r="J28" s="105"/>
      <c r="K28" s="105">
        <f>+K27*F28</f>
        <v>71</v>
      </c>
      <c r="L28" s="105">
        <f>J28+K28</f>
        <v>71</v>
      </c>
      <c r="M28" s="170" t="s">
        <v>221</v>
      </c>
      <c r="N28" s="41"/>
    </row>
    <row r="29" spans="2:14" x14ac:dyDescent="0.3">
      <c r="B29" s="167"/>
      <c r="C29" s="39"/>
      <c r="D29" s="40" t="s">
        <v>219</v>
      </c>
      <c r="E29" s="41"/>
      <c r="F29" s="107"/>
      <c r="G29" s="168"/>
      <c r="H29" s="169"/>
      <c r="I29" s="169"/>
      <c r="J29" s="105"/>
      <c r="K29" s="105"/>
      <c r="L29" s="105">
        <f>+L28+L27</f>
        <v>5265</v>
      </c>
      <c r="M29" s="170"/>
      <c r="N29" s="41"/>
    </row>
    <row r="30" spans="2:14" x14ac:dyDescent="0.3">
      <c r="B30" s="167"/>
      <c r="C30" s="39"/>
      <c r="D30" s="40" t="s">
        <v>222</v>
      </c>
      <c r="E30" s="41"/>
      <c r="F30" s="374">
        <f>+'INSTRUCTIONS and DATA'!J14</f>
        <v>0.2</v>
      </c>
      <c r="G30" s="168"/>
      <c r="H30" s="169"/>
      <c r="I30" s="169"/>
      <c r="J30" s="105"/>
      <c r="K30" s="105"/>
      <c r="L30" s="105">
        <f>+L29*F30</f>
        <v>1053</v>
      </c>
      <c r="M30" s="170"/>
      <c r="N30" s="41"/>
    </row>
    <row r="31" spans="2:14" x14ac:dyDescent="0.3">
      <c r="B31" s="167"/>
      <c r="C31" s="39"/>
      <c r="D31" s="260" t="s">
        <v>382</v>
      </c>
      <c r="E31" s="261"/>
      <c r="F31" s="275"/>
      <c r="G31" s="262"/>
      <c r="H31" s="275"/>
      <c r="I31" s="275"/>
      <c r="J31" s="278"/>
      <c r="K31" s="278"/>
      <c r="L31" s="279">
        <f>+L30+L29</f>
        <v>6318</v>
      </c>
      <c r="M31" s="170"/>
      <c r="N31" s="41"/>
    </row>
    <row r="32" spans="2:14" x14ac:dyDescent="0.3">
      <c r="B32" s="167"/>
      <c r="C32" s="39"/>
      <c r="D32" s="40"/>
      <c r="E32" s="41"/>
      <c r="F32" s="168"/>
      <c r="G32" s="168"/>
      <c r="H32" s="169"/>
      <c r="I32" s="169"/>
      <c r="J32" s="105"/>
      <c r="K32" s="105"/>
      <c r="L32" s="105"/>
      <c r="M32" s="170"/>
      <c r="N32" s="41"/>
    </row>
    <row r="33" spans="2:14" x14ac:dyDescent="0.3">
      <c r="B33" s="167"/>
      <c r="C33" s="39"/>
      <c r="D33" s="260" t="s">
        <v>383</v>
      </c>
      <c r="E33" s="41"/>
      <c r="F33" s="168"/>
      <c r="G33" s="168"/>
      <c r="H33" s="169"/>
      <c r="I33" s="169"/>
      <c r="J33" s="105"/>
      <c r="K33" s="105"/>
      <c r="L33" s="279">
        <f>+L31+L20</f>
        <v>12010.8</v>
      </c>
      <c r="M33" s="170" t="s">
        <v>384</v>
      </c>
      <c r="N33" s="41"/>
    </row>
    <row r="34" spans="2:14" x14ac:dyDescent="0.3">
      <c r="B34" s="167"/>
      <c r="C34" s="39"/>
      <c r="D34" s="40"/>
      <c r="E34" s="41"/>
      <c r="F34" s="168"/>
      <c r="G34" s="168"/>
      <c r="H34" s="169"/>
      <c r="I34" s="169"/>
      <c r="J34" s="105"/>
      <c r="K34" s="105"/>
      <c r="L34" s="105"/>
      <c r="M34" s="170"/>
      <c r="N34" s="41"/>
    </row>
    <row r="35" spans="2:14" x14ac:dyDescent="0.3">
      <c r="B35" s="167"/>
      <c r="C35" s="39"/>
      <c r="D35" s="40"/>
      <c r="E35" s="41"/>
      <c r="F35" s="168"/>
      <c r="G35" s="168"/>
      <c r="H35" s="169"/>
      <c r="I35" s="169"/>
      <c r="J35" s="105"/>
      <c r="K35" s="105"/>
      <c r="L35" s="105"/>
      <c r="M35" s="170"/>
      <c r="N35" s="41"/>
    </row>
    <row r="37" spans="2:14" x14ac:dyDescent="0.3">
      <c r="K37" s="64"/>
      <c r="L37" s="273"/>
    </row>
    <row r="39" spans="2:14" x14ac:dyDescent="0.3">
      <c r="B39" s="1" t="s">
        <v>267</v>
      </c>
    </row>
    <row r="41" spans="2:14" x14ac:dyDescent="0.3">
      <c r="B41" s="1" t="s">
        <v>218</v>
      </c>
    </row>
  </sheetData>
  <mergeCells count="7">
    <mergeCell ref="L8:L9"/>
    <mergeCell ref="M8:N9"/>
    <mergeCell ref="C8:E9"/>
    <mergeCell ref="F8:F9"/>
    <mergeCell ref="G8:G9"/>
    <mergeCell ref="H8:I8"/>
    <mergeCell ref="J8:K8"/>
  </mergeCells>
  <pageMargins left="1" right="1" top="1" bottom="1" header="0.5" footer="0.5"/>
  <pageSetup scale="75" orientation="landscape" r:id="rId1"/>
  <headerFooter alignWithMargins="0">
    <oddHeader>&amp;A</oddHeader>
    <oddFooter>Page &amp;P</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8" width="11" style="1" bestFit="1" customWidth="1"/>
    <col min="9"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343</v>
      </c>
      <c r="D12" s="40"/>
      <c r="E12" s="41"/>
      <c r="F12" s="168"/>
      <c r="G12" s="168"/>
      <c r="H12" s="169"/>
      <c r="I12" s="169"/>
      <c r="J12" s="105">
        <f t="shared" si="0"/>
        <v>0</v>
      </c>
      <c r="K12" s="105">
        <f t="shared" si="1"/>
        <v>0</v>
      </c>
      <c r="L12" s="105">
        <f>J12+K12</f>
        <v>0</v>
      </c>
      <c r="M12" s="170"/>
      <c r="N12" s="41"/>
    </row>
    <row r="13" spans="2:14" x14ac:dyDescent="0.3">
      <c r="B13" s="167"/>
      <c r="C13" s="39"/>
      <c r="D13" s="40" t="s">
        <v>239</v>
      </c>
      <c r="E13" s="41"/>
      <c r="F13" s="168">
        <v>10</v>
      </c>
      <c r="G13" s="168" t="s">
        <v>236</v>
      </c>
      <c r="H13" s="169">
        <v>43</v>
      </c>
      <c r="I13" s="169">
        <v>63</v>
      </c>
      <c r="J13" s="105">
        <f t="shared" si="0"/>
        <v>430</v>
      </c>
      <c r="K13" s="105">
        <f t="shared" si="1"/>
        <v>630</v>
      </c>
      <c r="L13" s="105">
        <f>J13+K13</f>
        <v>1060</v>
      </c>
      <c r="M13" s="170"/>
      <c r="N13" s="41"/>
    </row>
    <row r="14" spans="2:14" x14ac:dyDescent="0.3">
      <c r="B14" s="167"/>
      <c r="C14" s="39"/>
      <c r="D14" s="40" t="s">
        <v>240</v>
      </c>
      <c r="E14" s="41"/>
      <c r="F14" s="168">
        <v>100</v>
      </c>
      <c r="G14" s="168" t="s">
        <v>236</v>
      </c>
      <c r="H14" s="169">
        <v>10</v>
      </c>
      <c r="I14" s="169">
        <v>15</v>
      </c>
      <c r="J14" s="105">
        <f t="shared" si="0"/>
        <v>1000</v>
      </c>
      <c r="K14" s="105">
        <f t="shared" si="1"/>
        <v>1500</v>
      </c>
      <c r="L14" s="105">
        <f>J14+K14</f>
        <v>2500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1430</v>
      </c>
      <c r="K30" s="105">
        <f>SUM(K10:K29)</f>
        <v>2130</v>
      </c>
      <c r="L30" s="105">
        <f>SUM(L10:L29)</f>
        <v>3560</v>
      </c>
      <c r="M30" s="170"/>
      <c r="N30" s="41"/>
    </row>
    <row r="31" spans="2:14" x14ac:dyDescent="0.3">
      <c r="B31" s="167"/>
      <c r="C31" s="39"/>
      <c r="D31" s="40" t="s">
        <v>220</v>
      </c>
      <c r="E31" s="41"/>
      <c r="F31" s="277">
        <v>0.1</v>
      </c>
      <c r="G31" s="272"/>
      <c r="H31" s="169"/>
      <c r="I31" s="169"/>
      <c r="J31" s="105"/>
      <c r="K31" s="105">
        <f>+K30*F31</f>
        <v>213</v>
      </c>
      <c r="L31" s="105">
        <f>J31+K31</f>
        <v>213</v>
      </c>
      <c r="M31" s="170" t="s">
        <v>221</v>
      </c>
      <c r="N31" s="41"/>
    </row>
    <row r="32" spans="2:14" x14ac:dyDescent="0.3">
      <c r="B32" s="167"/>
      <c r="C32" s="39"/>
      <c r="D32" s="40" t="s">
        <v>219</v>
      </c>
      <c r="E32" s="41"/>
      <c r="F32" s="107"/>
      <c r="G32" s="168"/>
      <c r="H32" s="169"/>
      <c r="I32" s="169"/>
      <c r="J32" s="105"/>
      <c r="K32" s="105"/>
      <c r="L32" s="105">
        <f>+L31+L30</f>
        <v>3773</v>
      </c>
      <c r="M32" s="170"/>
      <c r="N32" s="41"/>
    </row>
    <row r="33" spans="2:14" x14ac:dyDescent="0.3">
      <c r="B33" s="167"/>
      <c r="C33" s="39"/>
      <c r="D33" s="40" t="s">
        <v>222</v>
      </c>
      <c r="E33" s="41"/>
      <c r="F33" s="294">
        <f>+'INSTRUCTIONS and DATA'!J14</f>
        <v>0.2</v>
      </c>
      <c r="G33" s="168"/>
      <c r="H33" s="169"/>
      <c r="I33" s="169"/>
      <c r="J33" s="105"/>
      <c r="K33" s="105"/>
      <c r="L33" s="105">
        <f>+L32*F33</f>
        <v>754.6</v>
      </c>
      <c r="M33" s="170"/>
      <c r="N33" s="41"/>
    </row>
    <row r="34" spans="2:14" x14ac:dyDescent="0.3">
      <c r="B34" s="167"/>
      <c r="C34" s="39"/>
      <c r="D34" s="260" t="s">
        <v>217</v>
      </c>
      <c r="E34" s="261"/>
      <c r="F34" s="275"/>
      <c r="G34" s="262"/>
      <c r="H34" s="275"/>
      <c r="I34" s="275"/>
      <c r="J34" s="278"/>
      <c r="K34" s="278"/>
      <c r="L34" s="279">
        <f>+L33+L32</f>
        <v>4527.6000000000004</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1" right="1" top="1" bottom="1" header="0.5" footer="0.5"/>
  <pageSetup scale="75" orientation="landscape" r:id="rId1"/>
  <headerFooter alignWithMargins="0">
    <oddHeader>&amp;A</oddHeader>
    <oddFooter>Page &amp;P</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5429687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344</v>
      </c>
      <c r="D12" s="40"/>
      <c r="E12" s="41"/>
      <c r="F12" s="168"/>
      <c r="G12" s="168"/>
      <c r="H12" s="169"/>
      <c r="I12" s="169"/>
      <c r="J12" s="105">
        <f t="shared" si="0"/>
        <v>0</v>
      </c>
      <c r="K12" s="105">
        <f t="shared" si="1"/>
        <v>0</v>
      </c>
      <c r="L12" s="105">
        <f>J12+K12</f>
        <v>0</v>
      </c>
      <c r="M12" s="170"/>
      <c r="N12" s="41"/>
    </row>
    <row r="13" spans="2:14" x14ac:dyDescent="0.3">
      <c r="B13" s="167"/>
      <c r="C13" s="39"/>
      <c r="D13" s="40" t="s">
        <v>241</v>
      </c>
      <c r="E13" s="41"/>
      <c r="F13" s="168">
        <v>10</v>
      </c>
      <c r="G13" s="168" t="s">
        <v>236</v>
      </c>
      <c r="H13" s="169">
        <v>44</v>
      </c>
      <c r="I13" s="169">
        <v>64</v>
      </c>
      <c r="J13" s="105">
        <f t="shared" si="0"/>
        <v>440</v>
      </c>
      <c r="K13" s="105">
        <f t="shared" si="1"/>
        <v>640</v>
      </c>
      <c r="L13" s="105">
        <f>J13+K13</f>
        <v>1080</v>
      </c>
      <c r="M13" s="170"/>
      <c r="N13" s="41"/>
    </row>
    <row r="14" spans="2:14" x14ac:dyDescent="0.3">
      <c r="B14" s="167"/>
      <c r="C14" s="39"/>
      <c r="D14" s="40" t="s">
        <v>242</v>
      </c>
      <c r="E14" s="41"/>
      <c r="F14" s="168">
        <v>100</v>
      </c>
      <c r="G14" s="168" t="s">
        <v>236</v>
      </c>
      <c r="H14" s="169">
        <v>4</v>
      </c>
      <c r="I14" s="169">
        <v>6</v>
      </c>
      <c r="J14" s="105">
        <f t="shared" si="0"/>
        <v>400</v>
      </c>
      <c r="K14" s="105">
        <f t="shared" si="1"/>
        <v>600</v>
      </c>
      <c r="L14" s="105">
        <f>J14+K14</f>
        <v>1000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840</v>
      </c>
      <c r="K30" s="105">
        <f>SUM(K10:K29)</f>
        <v>1240</v>
      </c>
      <c r="L30" s="105">
        <f>SUM(L10:L29)</f>
        <v>2080</v>
      </c>
      <c r="M30" s="170"/>
      <c r="N30" s="41"/>
    </row>
    <row r="31" spans="2:14" x14ac:dyDescent="0.3">
      <c r="B31" s="167"/>
      <c r="C31" s="39"/>
      <c r="D31" s="40" t="s">
        <v>220</v>
      </c>
      <c r="E31" s="41"/>
      <c r="F31" s="277">
        <v>0.1</v>
      </c>
      <c r="G31" s="272"/>
      <c r="H31" s="169"/>
      <c r="I31" s="169"/>
      <c r="J31" s="105"/>
      <c r="K31" s="105">
        <f>+K30*F31</f>
        <v>124</v>
      </c>
      <c r="L31" s="105">
        <f>J31+K31</f>
        <v>124</v>
      </c>
      <c r="M31" s="170" t="s">
        <v>221</v>
      </c>
      <c r="N31" s="41"/>
    </row>
    <row r="32" spans="2:14" x14ac:dyDescent="0.3">
      <c r="B32" s="167"/>
      <c r="C32" s="39"/>
      <c r="D32" s="40" t="s">
        <v>219</v>
      </c>
      <c r="E32" s="41"/>
      <c r="F32" s="107"/>
      <c r="G32" s="168"/>
      <c r="H32" s="169"/>
      <c r="I32" s="169"/>
      <c r="J32" s="105"/>
      <c r="K32" s="105"/>
      <c r="L32" s="105">
        <f>+L31+L30</f>
        <v>2204</v>
      </c>
      <c r="M32" s="170"/>
      <c r="N32" s="41"/>
    </row>
    <row r="33" spans="2:14" x14ac:dyDescent="0.3">
      <c r="B33" s="167"/>
      <c r="C33" s="39"/>
      <c r="D33" s="40" t="s">
        <v>222</v>
      </c>
      <c r="E33" s="41"/>
      <c r="F33" s="294">
        <f>+'INSTRUCTIONS and DATA'!J14</f>
        <v>0.2</v>
      </c>
      <c r="G33" s="168"/>
      <c r="H33" s="169"/>
      <c r="I33" s="169"/>
      <c r="J33" s="105"/>
      <c r="K33" s="105"/>
      <c r="L33" s="105">
        <f>+L32*F33</f>
        <v>440.8</v>
      </c>
      <c r="M33" s="170"/>
      <c r="N33" s="41"/>
    </row>
    <row r="34" spans="2:14" x14ac:dyDescent="0.3">
      <c r="B34" s="167"/>
      <c r="C34" s="39"/>
      <c r="D34" s="260" t="s">
        <v>217</v>
      </c>
      <c r="E34" s="261"/>
      <c r="F34" s="275"/>
      <c r="G34" s="262"/>
      <c r="H34" s="275"/>
      <c r="I34" s="275"/>
      <c r="J34" s="278"/>
      <c r="K34" s="278"/>
      <c r="L34" s="279">
        <f>+L33+L32</f>
        <v>2644.8</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6" orientation="landscape" r:id="rId1"/>
  <headerFooter alignWithMargins="0">
    <oddHeader>&amp;A</oddHeader>
    <oddFooter>Page &amp;P</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7265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345</v>
      </c>
      <c r="D12" s="40"/>
      <c r="E12" s="41"/>
      <c r="F12" s="168"/>
      <c r="G12" s="168"/>
      <c r="H12" s="169"/>
      <c r="I12" s="169"/>
      <c r="J12" s="105">
        <f t="shared" si="0"/>
        <v>0</v>
      </c>
      <c r="K12" s="105">
        <f t="shared" si="1"/>
        <v>0</v>
      </c>
      <c r="L12" s="105">
        <f>J12+K12</f>
        <v>0</v>
      </c>
      <c r="M12" s="170"/>
      <c r="N12" s="41"/>
    </row>
    <row r="13" spans="2:14" x14ac:dyDescent="0.3">
      <c r="B13" s="167"/>
      <c r="C13" s="39"/>
      <c r="D13" s="40" t="s">
        <v>243</v>
      </c>
      <c r="E13" s="41"/>
      <c r="F13" s="168">
        <v>10</v>
      </c>
      <c r="G13" s="168" t="s">
        <v>236</v>
      </c>
      <c r="H13" s="169">
        <v>45</v>
      </c>
      <c r="I13" s="169">
        <v>65</v>
      </c>
      <c r="J13" s="105">
        <f t="shared" si="0"/>
        <v>450</v>
      </c>
      <c r="K13" s="105">
        <f t="shared" si="1"/>
        <v>650</v>
      </c>
      <c r="L13" s="105">
        <f>J13+K13</f>
        <v>1100</v>
      </c>
      <c r="M13" s="170"/>
      <c r="N13" s="41"/>
    </row>
    <row r="14" spans="2:14" x14ac:dyDescent="0.3">
      <c r="B14" s="167"/>
      <c r="C14" s="39"/>
      <c r="D14" s="40" t="s">
        <v>244</v>
      </c>
      <c r="E14" s="41"/>
      <c r="F14" s="168">
        <v>100</v>
      </c>
      <c r="G14" s="168" t="s">
        <v>236</v>
      </c>
      <c r="H14" s="169">
        <v>20</v>
      </c>
      <c r="I14" s="169">
        <v>6</v>
      </c>
      <c r="J14" s="105">
        <f t="shared" si="0"/>
        <v>2000</v>
      </c>
      <c r="K14" s="105">
        <f t="shared" si="1"/>
        <v>600</v>
      </c>
      <c r="L14" s="105">
        <f>J14+K14</f>
        <v>2600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2450</v>
      </c>
      <c r="K30" s="105">
        <f>SUM(K10:K29)</f>
        <v>1250</v>
      </c>
      <c r="L30" s="105">
        <f>SUM(L10:L29)</f>
        <v>3700</v>
      </c>
      <c r="M30" s="170"/>
      <c r="N30" s="41"/>
    </row>
    <row r="31" spans="2:14" x14ac:dyDescent="0.3">
      <c r="B31" s="167"/>
      <c r="C31" s="39"/>
      <c r="D31" s="40" t="s">
        <v>220</v>
      </c>
      <c r="E31" s="41"/>
      <c r="F31" s="277">
        <v>0.1</v>
      </c>
      <c r="G31" s="272"/>
      <c r="H31" s="169"/>
      <c r="I31" s="169"/>
      <c r="J31" s="105"/>
      <c r="K31" s="105">
        <f>+K30*F31</f>
        <v>125</v>
      </c>
      <c r="L31" s="105">
        <f>J31+K31</f>
        <v>125</v>
      </c>
      <c r="M31" s="170" t="s">
        <v>221</v>
      </c>
      <c r="N31" s="41"/>
    </row>
    <row r="32" spans="2:14" x14ac:dyDescent="0.3">
      <c r="B32" s="167"/>
      <c r="C32" s="39"/>
      <c r="D32" s="40" t="s">
        <v>219</v>
      </c>
      <c r="E32" s="41"/>
      <c r="F32" s="107"/>
      <c r="G32" s="168"/>
      <c r="H32" s="169"/>
      <c r="I32" s="169"/>
      <c r="J32" s="105"/>
      <c r="K32" s="105"/>
      <c r="L32" s="105">
        <f>+L31+L30</f>
        <v>3825</v>
      </c>
      <c r="M32" s="170"/>
      <c r="N32" s="41"/>
    </row>
    <row r="33" spans="2:14" x14ac:dyDescent="0.3">
      <c r="B33" s="167"/>
      <c r="C33" s="39"/>
      <c r="D33" s="40" t="s">
        <v>222</v>
      </c>
      <c r="E33" s="41"/>
      <c r="F33" s="294">
        <f>+'INSTRUCTIONS and DATA'!J14</f>
        <v>0.2</v>
      </c>
      <c r="G33" s="168"/>
      <c r="H33" s="169"/>
      <c r="I33" s="169"/>
      <c r="J33" s="105"/>
      <c r="K33" s="105"/>
      <c r="L33" s="105">
        <f>+L32*F33</f>
        <v>765</v>
      </c>
      <c r="M33" s="170"/>
      <c r="N33" s="41"/>
    </row>
    <row r="34" spans="2:14" x14ac:dyDescent="0.3">
      <c r="B34" s="167"/>
      <c r="C34" s="39"/>
      <c r="D34" s="260" t="s">
        <v>217</v>
      </c>
      <c r="E34" s="261"/>
      <c r="F34" s="275"/>
      <c r="G34" s="262"/>
      <c r="H34" s="275"/>
      <c r="I34" s="275"/>
      <c r="J34" s="278"/>
      <c r="K34" s="278"/>
      <c r="L34" s="279">
        <f>+L33+L32</f>
        <v>4590</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6" orientation="landscape" r:id="rId1"/>
  <headerFooter alignWithMargins="0">
    <oddHeader>&amp;A</oddHeader>
    <oddFooter>Page &amp;P</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5429687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346</v>
      </c>
      <c r="D12" s="40"/>
      <c r="E12" s="41"/>
      <c r="F12" s="168"/>
      <c r="G12" s="168"/>
      <c r="H12" s="169"/>
      <c r="I12" s="169"/>
      <c r="J12" s="105">
        <f t="shared" si="0"/>
        <v>0</v>
      </c>
      <c r="K12" s="105">
        <f t="shared" si="1"/>
        <v>0</v>
      </c>
      <c r="L12" s="105">
        <f>J12+K12</f>
        <v>0</v>
      </c>
      <c r="M12" s="170"/>
      <c r="N12" s="41"/>
    </row>
    <row r="13" spans="2:14" x14ac:dyDescent="0.3">
      <c r="B13" s="167"/>
      <c r="C13" s="39"/>
      <c r="D13" s="40" t="s">
        <v>245</v>
      </c>
      <c r="E13" s="41"/>
      <c r="F13" s="168">
        <v>10</v>
      </c>
      <c r="G13" s="168" t="s">
        <v>236</v>
      </c>
      <c r="H13" s="169">
        <v>46</v>
      </c>
      <c r="I13" s="169">
        <v>66</v>
      </c>
      <c r="J13" s="105">
        <f t="shared" si="0"/>
        <v>460</v>
      </c>
      <c r="K13" s="105">
        <f t="shared" si="1"/>
        <v>660</v>
      </c>
      <c r="L13" s="105">
        <f>J13+K13</f>
        <v>1120</v>
      </c>
      <c r="M13" s="170"/>
      <c r="N13" s="41"/>
    </row>
    <row r="14" spans="2:14" x14ac:dyDescent="0.3">
      <c r="B14" s="167"/>
      <c r="C14" s="39"/>
      <c r="D14" s="40" t="s">
        <v>246</v>
      </c>
      <c r="E14" s="41"/>
      <c r="F14" s="168">
        <v>100</v>
      </c>
      <c r="G14" s="168" t="s">
        <v>236</v>
      </c>
      <c r="H14" s="169">
        <v>20</v>
      </c>
      <c r="I14" s="169">
        <v>6</v>
      </c>
      <c r="J14" s="105">
        <f t="shared" si="0"/>
        <v>2000</v>
      </c>
      <c r="K14" s="105">
        <f t="shared" si="1"/>
        <v>600</v>
      </c>
      <c r="L14" s="105">
        <f>J14+K14</f>
        <v>2600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2460</v>
      </c>
      <c r="K30" s="105">
        <f>SUM(K10:K29)</f>
        <v>1260</v>
      </c>
      <c r="L30" s="105">
        <f>SUM(L10:L29)</f>
        <v>3720</v>
      </c>
      <c r="M30" s="170"/>
      <c r="N30" s="41"/>
    </row>
    <row r="31" spans="2:14" x14ac:dyDescent="0.3">
      <c r="B31" s="167"/>
      <c r="C31" s="39"/>
      <c r="D31" s="40" t="s">
        <v>220</v>
      </c>
      <c r="E31" s="41"/>
      <c r="F31" s="277">
        <v>0.1</v>
      </c>
      <c r="G31" s="272"/>
      <c r="H31" s="169"/>
      <c r="I31" s="169"/>
      <c r="J31" s="105"/>
      <c r="K31" s="105">
        <f>+K30*F31</f>
        <v>126</v>
      </c>
      <c r="L31" s="105">
        <f>J31+K31</f>
        <v>126</v>
      </c>
      <c r="M31" s="170" t="s">
        <v>221</v>
      </c>
      <c r="N31" s="41"/>
    </row>
    <row r="32" spans="2:14" x14ac:dyDescent="0.3">
      <c r="B32" s="167"/>
      <c r="C32" s="39"/>
      <c r="D32" s="40" t="s">
        <v>219</v>
      </c>
      <c r="E32" s="41"/>
      <c r="F32" s="107"/>
      <c r="G32" s="168"/>
      <c r="H32" s="169"/>
      <c r="I32" s="169"/>
      <c r="J32" s="105"/>
      <c r="K32" s="105"/>
      <c r="L32" s="105">
        <f>+L31+L30</f>
        <v>3846</v>
      </c>
      <c r="M32" s="170"/>
      <c r="N32" s="41"/>
    </row>
    <row r="33" spans="2:14" x14ac:dyDescent="0.3">
      <c r="B33" s="167"/>
      <c r="C33" s="39"/>
      <c r="D33" s="40" t="s">
        <v>222</v>
      </c>
      <c r="E33" s="41"/>
      <c r="F33" s="294">
        <f>+'INSTRUCTIONS and DATA'!J14</f>
        <v>0.2</v>
      </c>
      <c r="G33" s="168"/>
      <c r="H33" s="169"/>
      <c r="I33" s="169"/>
      <c r="J33" s="105"/>
      <c r="K33" s="105"/>
      <c r="L33" s="105">
        <f>+L32*F33</f>
        <v>769.2</v>
      </c>
      <c r="M33" s="170"/>
      <c r="N33" s="41"/>
    </row>
    <row r="34" spans="2:14" x14ac:dyDescent="0.3">
      <c r="B34" s="167"/>
      <c r="C34" s="39"/>
      <c r="D34" s="260" t="s">
        <v>217</v>
      </c>
      <c r="E34" s="261"/>
      <c r="F34" s="275"/>
      <c r="G34" s="262"/>
      <c r="H34" s="275"/>
      <c r="I34" s="275"/>
      <c r="J34" s="278"/>
      <c r="K34" s="278"/>
      <c r="L34" s="279">
        <f>+L33+L32</f>
        <v>4615.2</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5" width="9.1796875" style="1" customWidth="1"/>
    <col min="16"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347</v>
      </c>
      <c r="D12" s="40"/>
      <c r="E12" s="41"/>
      <c r="F12" s="168"/>
      <c r="G12" s="168"/>
      <c r="H12" s="169"/>
      <c r="I12" s="169"/>
      <c r="J12" s="105">
        <f t="shared" si="0"/>
        <v>0</v>
      </c>
      <c r="K12" s="105">
        <f t="shared" si="1"/>
        <v>0</v>
      </c>
      <c r="L12" s="105">
        <f>J12+K12</f>
        <v>0</v>
      </c>
      <c r="M12" s="170"/>
      <c r="N12" s="41"/>
    </row>
    <row r="13" spans="2:14" x14ac:dyDescent="0.3">
      <c r="B13" s="167"/>
      <c r="C13" s="39"/>
      <c r="D13" s="40" t="s">
        <v>247</v>
      </c>
      <c r="E13" s="41"/>
      <c r="F13" s="168">
        <v>10</v>
      </c>
      <c r="G13" s="168" t="s">
        <v>236</v>
      </c>
      <c r="H13" s="169">
        <v>47</v>
      </c>
      <c r="I13" s="169">
        <v>67</v>
      </c>
      <c r="J13" s="105">
        <f t="shared" si="0"/>
        <v>470</v>
      </c>
      <c r="K13" s="105">
        <f t="shared" si="1"/>
        <v>670</v>
      </c>
      <c r="L13" s="105">
        <f>J13+K13</f>
        <v>1140</v>
      </c>
      <c r="M13" s="170"/>
      <c r="N13" s="41"/>
    </row>
    <row r="14" spans="2:14" x14ac:dyDescent="0.3">
      <c r="B14" s="167"/>
      <c r="C14" s="39"/>
      <c r="D14" s="40" t="s">
        <v>248</v>
      </c>
      <c r="E14" s="41"/>
      <c r="F14" s="168">
        <v>100</v>
      </c>
      <c r="G14" s="168" t="s">
        <v>236</v>
      </c>
      <c r="H14" s="169">
        <v>4</v>
      </c>
      <c r="I14" s="169">
        <v>4</v>
      </c>
      <c r="J14" s="105">
        <f>+F14*H14</f>
        <v>400</v>
      </c>
      <c r="K14" s="105">
        <f>+F14*I14</f>
        <v>400</v>
      </c>
      <c r="L14" s="105">
        <f>J14+K14</f>
        <v>800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870</v>
      </c>
      <c r="K30" s="105">
        <f>SUM(K10:K29)</f>
        <v>1070</v>
      </c>
      <c r="L30" s="105">
        <f>SUM(L10:L29)</f>
        <v>1940</v>
      </c>
      <c r="M30" s="170"/>
      <c r="N30" s="41"/>
    </row>
    <row r="31" spans="2:14" x14ac:dyDescent="0.3">
      <c r="B31" s="167"/>
      <c r="C31" s="39"/>
      <c r="D31" s="40" t="s">
        <v>220</v>
      </c>
      <c r="E31" s="41"/>
      <c r="F31" s="277">
        <v>0.1</v>
      </c>
      <c r="G31" s="272"/>
      <c r="H31" s="169"/>
      <c r="I31" s="169"/>
      <c r="J31" s="105"/>
      <c r="K31" s="105">
        <f>+K30*F31</f>
        <v>107</v>
      </c>
      <c r="L31" s="105">
        <f>J31+K31</f>
        <v>107</v>
      </c>
      <c r="M31" s="170" t="s">
        <v>221</v>
      </c>
      <c r="N31" s="41"/>
    </row>
    <row r="32" spans="2:14" x14ac:dyDescent="0.3">
      <c r="B32" s="167"/>
      <c r="C32" s="39"/>
      <c r="D32" s="40" t="s">
        <v>219</v>
      </c>
      <c r="E32" s="41"/>
      <c r="F32" s="107"/>
      <c r="G32" s="168"/>
      <c r="H32" s="169"/>
      <c r="I32" s="169"/>
      <c r="J32" s="105"/>
      <c r="K32" s="105"/>
      <c r="L32" s="105">
        <f>+L31+L30</f>
        <v>2047</v>
      </c>
      <c r="M32" s="170"/>
      <c r="N32" s="41"/>
    </row>
    <row r="33" spans="2:14" x14ac:dyDescent="0.3">
      <c r="B33" s="167"/>
      <c r="C33" s="39"/>
      <c r="D33" s="40" t="s">
        <v>222</v>
      </c>
      <c r="E33" s="41"/>
      <c r="F33" s="294">
        <f>+'INSTRUCTIONS and DATA'!J14</f>
        <v>0.2</v>
      </c>
      <c r="G33" s="168"/>
      <c r="H33" s="169"/>
      <c r="I33" s="169"/>
      <c r="J33" s="105"/>
      <c r="K33" s="105"/>
      <c r="L33" s="105">
        <f>+L32*F33</f>
        <v>409.40000000000003</v>
      </c>
      <c r="M33" s="170"/>
      <c r="N33" s="41"/>
    </row>
    <row r="34" spans="2:14" x14ac:dyDescent="0.3">
      <c r="B34" s="167"/>
      <c r="C34" s="39"/>
      <c r="D34" s="260" t="s">
        <v>217</v>
      </c>
      <c r="E34" s="261"/>
      <c r="F34" s="275"/>
      <c r="G34" s="262"/>
      <c r="H34" s="275"/>
      <c r="I34" s="275"/>
      <c r="J34" s="278"/>
      <c r="K34" s="278"/>
      <c r="L34" s="279">
        <f>+L33+L32</f>
        <v>2456.4</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5" width="9.1796875" style="1" customWidth="1"/>
    <col min="16"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348</v>
      </c>
      <c r="D12" s="40"/>
      <c r="E12" s="41"/>
      <c r="F12" s="168"/>
      <c r="G12" s="168"/>
      <c r="H12" s="169"/>
      <c r="I12" s="169"/>
      <c r="J12" s="105">
        <f t="shared" si="0"/>
        <v>0</v>
      </c>
      <c r="K12" s="105">
        <f t="shared" si="1"/>
        <v>0</v>
      </c>
      <c r="L12" s="105">
        <f>J12+K12</f>
        <v>0</v>
      </c>
      <c r="M12" s="170"/>
      <c r="N12" s="41"/>
    </row>
    <row r="13" spans="2:14" x14ac:dyDescent="0.3">
      <c r="B13" s="167"/>
      <c r="C13" s="39"/>
      <c r="D13" s="40" t="s">
        <v>249</v>
      </c>
      <c r="E13" s="41"/>
      <c r="F13" s="168">
        <v>10</v>
      </c>
      <c r="G13" s="168" t="s">
        <v>236</v>
      </c>
      <c r="H13" s="169">
        <v>48</v>
      </c>
      <c r="I13" s="169">
        <v>68</v>
      </c>
      <c r="J13" s="105">
        <f t="shared" si="0"/>
        <v>480</v>
      </c>
      <c r="K13" s="105">
        <f t="shared" si="1"/>
        <v>680</v>
      </c>
      <c r="L13" s="105">
        <f>J13+K13</f>
        <v>1160</v>
      </c>
      <c r="M13" s="170"/>
      <c r="N13" s="41"/>
    </row>
    <row r="14" spans="2:14" x14ac:dyDescent="0.3">
      <c r="B14" s="167"/>
      <c r="C14" s="39"/>
      <c r="D14" s="40" t="s">
        <v>250</v>
      </c>
      <c r="E14" s="41"/>
      <c r="F14" s="168">
        <v>100</v>
      </c>
      <c r="G14" s="168" t="s">
        <v>236</v>
      </c>
      <c r="H14" s="169">
        <v>40</v>
      </c>
      <c r="I14" s="169">
        <v>60</v>
      </c>
      <c r="J14" s="105">
        <f t="shared" si="0"/>
        <v>4000</v>
      </c>
      <c r="K14" s="105">
        <f t="shared" si="1"/>
        <v>6000</v>
      </c>
      <c r="L14" s="105">
        <f>J14+K14</f>
        <v>10000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4480</v>
      </c>
      <c r="K30" s="105">
        <f>SUM(K10:K29)</f>
        <v>6680</v>
      </c>
      <c r="L30" s="105">
        <f>SUM(L10:L29)</f>
        <v>11160</v>
      </c>
      <c r="M30" s="170"/>
      <c r="N30" s="41"/>
    </row>
    <row r="31" spans="2:14" x14ac:dyDescent="0.3">
      <c r="B31" s="167"/>
      <c r="C31" s="39"/>
      <c r="D31" s="40" t="s">
        <v>220</v>
      </c>
      <c r="E31" s="41"/>
      <c r="F31" s="277">
        <v>0.1</v>
      </c>
      <c r="G31" s="272"/>
      <c r="H31" s="169"/>
      <c r="I31" s="169"/>
      <c r="J31" s="105"/>
      <c r="K31" s="105">
        <f>+K30*F31</f>
        <v>668</v>
      </c>
      <c r="L31" s="105">
        <f>J31+K31</f>
        <v>668</v>
      </c>
      <c r="M31" s="170" t="s">
        <v>221</v>
      </c>
      <c r="N31" s="41"/>
    </row>
    <row r="32" spans="2:14" x14ac:dyDescent="0.3">
      <c r="B32" s="167"/>
      <c r="C32" s="39"/>
      <c r="D32" s="40" t="s">
        <v>219</v>
      </c>
      <c r="E32" s="41"/>
      <c r="F32" s="107"/>
      <c r="G32" s="168"/>
      <c r="H32" s="169"/>
      <c r="I32" s="169"/>
      <c r="J32" s="105"/>
      <c r="K32" s="105"/>
      <c r="L32" s="105">
        <f>+L31+L30</f>
        <v>11828</v>
      </c>
      <c r="M32" s="170"/>
      <c r="N32" s="41"/>
    </row>
    <row r="33" spans="2:14" x14ac:dyDescent="0.3">
      <c r="B33" s="167"/>
      <c r="C33" s="39"/>
      <c r="D33" s="40" t="s">
        <v>222</v>
      </c>
      <c r="E33" s="41"/>
      <c r="F33" s="294">
        <f>+'INSTRUCTIONS and DATA'!J14</f>
        <v>0.2</v>
      </c>
      <c r="G33" s="168"/>
      <c r="H33" s="169"/>
      <c r="I33" s="169"/>
      <c r="J33" s="105"/>
      <c r="K33" s="105"/>
      <c r="L33" s="105">
        <f>+L32*F33</f>
        <v>2365.6</v>
      </c>
      <c r="M33" s="170"/>
      <c r="N33" s="41"/>
    </row>
    <row r="34" spans="2:14" x14ac:dyDescent="0.3">
      <c r="B34" s="167"/>
      <c r="C34" s="39"/>
      <c r="D34" s="260" t="s">
        <v>217</v>
      </c>
      <c r="E34" s="261"/>
      <c r="F34" s="275"/>
      <c r="G34" s="262"/>
      <c r="H34" s="275"/>
      <c r="I34" s="275"/>
      <c r="J34" s="278"/>
      <c r="K34" s="278"/>
      <c r="L34" s="279">
        <f>+L33+L32</f>
        <v>14193.6</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2" orientation="landscape" r:id="rId1"/>
  <headerFooter alignWithMargins="0">
    <oddHeader>&amp;A</oddHeader>
    <oddFooter>Page &amp;P</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7265625" style="1" customWidth="1"/>
    <col min="15" max="15" width="9.54296875" style="1" customWidth="1"/>
    <col min="16"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349</v>
      </c>
      <c r="D12" s="40"/>
      <c r="E12" s="41"/>
      <c r="F12" s="168"/>
      <c r="G12" s="168"/>
      <c r="H12" s="169"/>
      <c r="I12" s="169"/>
      <c r="J12" s="105">
        <f t="shared" si="0"/>
        <v>0</v>
      </c>
      <c r="K12" s="105">
        <f t="shared" si="1"/>
        <v>0</v>
      </c>
      <c r="L12" s="105">
        <f>J12+K12</f>
        <v>0</v>
      </c>
      <c r="M12" s="170"/>
      <c r="N12" s="41"/>
    </row>
    <row r="13" spans="2:14" x14ac:dyDescent="0.3">
      <c r="B13" s="167"/>
      <c r="C13" s="39"/>
      <c r="D13" s="40" t="s">
        <v>251</v>
      </c>
      <c r="E13" s="41"/>
      <c r="F13" s="168">
        <v>10</v>
      </c>
      <c r="G13" s="168" t="s">
        <v>236</v>
      </c>
      <c r="H13" s="169">
        <v>49</v>
      </c>
      <c r="I13" s="169">
        <v>69</v>
      </c>
      <c r="J13" s="105">
        <f t="shared" si="0"/>
        <v>490</v>
      </c>
      <c r="K13" s="105">
        <f t="shared" si="1"/>
        <v>690</v>
      </c>
      <c r="L13" s="105">
        <f>J13+K13</f>
        <v>1180</v>
      </c>
      <c r="M13" s="170"/>
      <c r="N13" s="41"/>
    </row>
    <row r="14" spans="2:14" x14ac:dyDescent="0.3">
      <c r="B14" s="167"/>
      <c r="C14" s="39"/>
      <c r="D14" s="40" t="s">
        <v>252</v>
      </c>
      <c r="E14" s="41"/>
      <c r="F14" s="168">
        <v>100</v>
      </c>
      <c r="G14" s="168" t="s">
        <v>236</v>
      </c>
      <c r="H14" s="169">
        <v>409</v>
      </c>
      <c r="I14" s="169">
        <v>609</v>
      </c>
      <c r="J14" s="105">
        <f t="shared" si="0"/>
        <v>40900</v>
      </c>
      <c r="K14" s="105">
        <f t="shared" si="1"/>
        <v>60900</v>
      </c>
      <c r="L14" s="105">
        <f>J14+K14</f>
        <v>101800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41390</v>
      </c>
      <c r="K30" s="105">
        <f>SUM(K10:K29)</f>
        <v>61590</v>
      </c>
      <c r="L30" s="105">
        <f>SUM(L10:L29)</f>
        <v>102980</v>
      </c>
      <c r="M30" s="170"/>
      <c r="N30" s="41"/>
    </row>
    <row r="31" spans="2:14" x14ac:dyDescent="0.3">
      <c r="B31" s="167"/>
      <c r="C31" s="39"/>
      <c r="D31" s="40" t="s">
        <v>220</v>
      </c>
      <c r="E31" s="41"/>
      <c r="F31" s="277">
        <v>0.1</v>
      </c>
      <c r="G31" s="272"/>
      <c r="H31" s="169"/>
      <c r="I31" s="169"/>
      <c r="J31" s="105"/>
      <c r="K31" s="105">
        <f>+K30*F31</f>
        <v>6159</v>
      </c>
      <c r="L31" s="105">
        <f>J31+K31</f>
        <v>6159</v>
      </c>
      <c r="M31" s="170" t="s">
        <v>221</v>
      </c>
      <c r="N31" s="41"/>
    </row>
    <row r="32" spans="2:14" x14ac:dyDescent="0.3">
      <c r="B32" s="167"/>
      <c r="C32" s="39"/>
      <c r="D32" s="40" t="s">
        <v>219</v>
      </c>
      <c r="E32" s="41"/>
      <c r="F32" s="107"/>
      <c r="G32" s="168"/>
      <c r="H32" s="169"/>
      <c r="I32" s="169"/>
      <c r="J32" s="105"/>
      <c r="K32" s="105"/>
      <c r="L32" s="105">
        <f>+L31+L30</f>
        <v>109139</v>
      </c>
      <c r="M32" s="170"/>
      <c r="N32" s="41"/>
    </row>
    <row r="33" spans="2:14" x14ac:dyDescent="0.3">
      <c r="B33" s="167"/>
      <c r="C33" s="39"/>
      <c r="D33" s="40" t="s">
        <v>222</v>
      </c>
      <c r="E33" s="41"/>
      <c r="F33" s="294">
        <f>+'INSTRUCTIONS and DATA'!J14</f>
        <v>0.2</v>
      </c>
      <c r="G33" s="168"/>
      <c r="H33" s="169"/>
      <c r="I33" s="169"/>
      <c r="J33" s="105"/>
      <c r="K33" s="105"/>
      <c r="L33" s="105">
        <f>+L32*F33</f>
        <v>21827.800000000003</v>
      </c>
      <c r="M33" s="170"/>
      <c r="N33" s="41"/>
    </row>
    <row r="34" spans="2:14" x14ac:dyDescent="0.3">
      <c r="B34" s="167"/>
      <c r="C34" s="39"/>
      <c r="D34" s="260" t="s">
        <v>217</v>
      </c>
      <c r="E34" s="261"/>
      <c r="F34" s="275"/>
      <c r="G34" s="262"/>
      <c r="H34" s="275"/>
      <c r="I34" s="275"/>
      <c r="J34" s="278"/>
      <c r="K34" s="278"/>
      <c r="L34" s="279">
        <f>+L33+L32</f>
        <v>130966.8</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N43"/>
  <sheetViews>
    <sheetView topLeftCell="A11" zoomScale="110" zoomScaleNormal="110" workbookViewId="0">
      <selection activeCell="L33" sqref="L33"/>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c r="K10" s="105"/>
      <c r="L10" s="105"/>
      <c r="M10" s="170"/>
      <c r="N10" s="41"/>
    </row>
    <row r="11" spans="2:14" x14ac:dyDescent="0.3">
      <c r="B11" s="167"/>
      <c r="C11" s="39"/>
      <c r="D11" s="40"/>
      <c r="E11" s="41"/>
      <c r="F11" s="168"/>
      <c r="G11" s="168"/>
      <c r="H11" s="169"/>
      <c r="I11" s="169"/>
      <c r="J11" s="105"/>
      <c r="K11" s="105"/>
      <c r="L11" s="105"/>
      <c r="M11" s="170"/>
      <c r="N11" s="41"/>
    </row>
    <row r="12" spans="2:14" x14ac:dyDescent="0.3">
      <c r="B12" s="167"/>
      <c r="C12" s="344" t="s">
        <v>386</v>
      </c>
      <c r="D12" s="40"/>
      <c r="E12" s="41"/>
      <c r="F12" s="168"/>
      <c r="G12" s="168"/>
      <c r="H12" s="169"/>
      <c r="I12" s="169"/>
      <c r="J12" s="105">
        <f t="shared" ref="J12:J15" si="0">+F12*H12</f>
        <v>0</v>
      </c>
      <c r="K12" s="105">
        <f t="shared" ref="K12:K15" si="1">+F12*I12</f>
        <v>0</v>
      </c>
      <c r="L12" s="105">
        <f>J12+K12</f>
        <v>0</v>
      </c>
      <c r="M12" s="170"/>
      <c r="N12" s="41"/>
    </row>
    <row r="13" spans="2:14" x14ac:dyDescent="0.3">
      <c r="B13" s="167"/>
      <c r="C13" s="39"/>
      <c r="D13" s="40" t="s">
        <v>253</v>
      </c>
      <c r="E13" s="41"/>
      <c r="F13" s="168">
        <v>10</v>
      </c>
      <c r="G13" s="168" t="s">
        <v>236</v>
      </c>
      <c r="H13" s="169">
        <v>50</v>
      </c>
      <c r="I13" s="169">
        <v>70</v>
      </c>
      <c r="J13" s="105">
        <f t="shared" si="0"/>
        <v>500</v>
      </c>
      <c r="K13" s="105">
        <f t="shared" si="1"/>
        <v>700</v>
      </c>
      <c r="L13" s="105">
        <f>J13+K13</f>
        <v>1200</v>
      </c>
      <c r="M13" s="170"/>
      <c r="N13" s="41"/>
    </row>
    <row r="14" spans="2:14" x14ac:dyDescent="0.3">
      <c r="B14" s="167"/>
      <c r="C14" s="39"/>
      <c r="D14" s="40" t="s">
        <v>254</v>
      </c>
      <c r="E14" s="41"/>
      <c r="F14" s="168">
        <v>100</v>
      </c>
      <c r="G14" s="168" t="s">
        <v>236</v>
      </c>
      <c r="H14" s="169">
        <v>410</v>
      </c>
      <c r="I14" s="169">
        <v>610</v>
      </c>
      <c r="J14" s="105">
        <f t="shared" si="0"/>
        <v>41000</v>
      </c>
      <c r="K14" s="105">
        <f t="shared" si="1"/>
        <v>61000</v>
      </c>
      <c r="L14" s="105">
        <f>J14+K14</f>
        <v>102000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t="s">
        <v>379</v>
      </c>
      <c r="E16" s="41"/>
      <c r="F16" s="105"/>
      <c r="G16" s="168"/>
      <c r="H16" s="107"/>
      <c r="I16" s="169"/>
      <c r="J16" s="105">
        <f>SUM(J12:J15)</f>
        <v>41500</v>
      </c>
      <c r="K16" s="105">
        <f t="shared" ref="K16:L16" si="2">SUM(K12:K15)</f>
        <v>61700</v>
      </c>
      <c r="L16" s="105">
        <f t="shared" si="2"/>
        <v>103200</v>
      </c>
      <c r="M16" s="170"/>
      <c r="N16" s="41"/>
    </row>
    <row r="17" spans="2:14" x14ac:dyDescent="0.3">
      <c r="B17" s="167"/>
      <c r="C17" s="39"/>
      <c r="D17" s="40" t="s">
        <v>220</v>
      </c>
      <c r="E17" s="41"/>
      <c r="F17" s="277">
        <v>0.1</v>
      </c>
      <c r="G17" s="272"/>
      <c r="H17" s="169"/>
      <c r="I17" s="169"/>
      <c r="J17" s="105"/>
      <c r="K17" s="105">
        <f>+K16*F17</f>
        <v>6170</v>
      </c>
      <c r="L17" s="105">
        <f>J17+K17</f>
        <v>6170</v>
      </c>
      <c r="M17" s="170" t="s">
        <v>221</v>
      </c>
      <c r="N17" s="41"/>
    </row>
    <row r="18" spans="2:14" x14ac:dyDescent="0.3">
      <c r="B18" s="167"/>
      <c r="C18" s="39"/>
      <c r="D18" s="40" t="s">
        <v>219</v>
      </c>
      <c r="E18" s="41"/>
      <c r="F18" s="107"/>
      <c r="G18" s="168"/>
      <c r="H18" s="169"/>
      <c r="I18" s="169"/>
      <c r="J18" s="105"/>
      <c r="K18" s="105"/>
      <c r="L18" s="105">
        <f>+L17+L16</f>
        <v>109370</v>
      </c>
      <c r="M18" s="170"/>
      <c r="N18" s="41"/>
    </row>
    <row r="19" spans="2:14" x14ac:dyDescent="0.3">
      <c r="B19" s="167"/>
      <c r="C19" s="39"/>
      <c r="D19" s="40" t="s">
        <v>222</v>
      </c>
      <c r="E19" s="41"/>
      <c r="F19" s="374">
        <f>+'INSTRUCTIONS and DATA'!J14</f>
        <v>0.2</v>
      </c>
      <c r="G19" s="168"/>
      <c r="H19" s="169"/>
      <c r="I19" s="169"/>
      <c r="J19" s="105"/>
      <c r="K19" s="105"/>
      <c r="L19" s="105">
        <f>+L18*F19</f>
        <v>21874</v>
      </c>
      <c r="M19" s="170"/>
      <c r="N19" s="41"/>
    </row>
    <row r="20" spans="2:14" x14ac:dyDescent="0.3">
      <c r="B20" s="167"/>
      <c r="C20" s="39"/>
      <c r="D20" s="260" t="s">
        <v>380</v>
      </c>
      <c r="E20" s="261"/>
      <c r="F20" s="275"/>
      <c r="G20" s="262"/>
      <c r="H20" s="275"/>
      <c r="I20" s="275"/>
      <c r="J20" s="278"/>
      <c r="K20" s="278"/>
      <c r="L20" s="279">
        <f>+L19+L18</f>
        <v>131244</v>
      </c>
      <c r="M20" s="170"/>
      <c r="N20" s="41"/>
    </row>
    <row r="21" spans="2:14" x14ac:dyDescent="0.3">
      <c r="B21" s="167"/>
      <c r="C21" s="39"/>
      <c r="D21" s="40"/>
      <c r="E21" s="41"/>
      <c r="F21" s="168"/>
      <c r="G21" s="168"/>
      <c r="H21" s="169"/>
      <c r="I21" s="169"/>
      <c r="J21" s="105"/>
      <c r="K21" s="105"/>
      <c r="L21" s="105"/>
      <c r="M21" s="170"/>
      <c r="N21" s="41"/>
    </row>
    <row r="22" spans="2:14" x14ac:dyDescent="0.3">
      <c r="B22" s="167"/>
      <c r="C22" s="39"/>
      <c r="D22" s="40"/>
      <c r="E22" s="41"/>
      <c r="F22" s="168"/>
      <c r="G22" s="168"/>
      <c r="H22" s="169"/>
      <c r="I22" s="169"/>
      <c r="J22" s="105"/>
      <c r="K22" s="105"/>
      <c r="L22" s="105"/>
      <c r="M22" s="170"/>
      <c r="N22" s="41"/>
    </row>
    <row r="23" spans="2:14" x14ac:dyDescent="0.3">
      <c r="B23" s="167"/>
      <c r="C23" s="344" t="s">
        <v>385</v>
      </c>
      <c r="D23" s="40"/>
      <c r="E23" s="41"/>
      <c r="F23" s="168"/>
      <c r="G23" s="168"/>
      <c r="H23" s="169"/>
      <c r="I23" s="169"/>
      <c r="J23" s="105">
        <f t="shared" ref="J23:J25" si="3">+F23*H23</f>
        <v>0</v>
      </c>
      <c r="K23" s="105">
        <f t="shared" ref="K23:K25" si="4">+F23*I23</f>
        <v>0</v>
      </c>
      <c r="L23" s="105">
        <f t="shared" ref="L23:L25" si="5">J23+K23</f>
        <v>0</v>
      </c>
      <c r="M23" s="170"/>
      <c r="N23" s="41"/>
    </row>
    <row r="24" spans="2:14" x14ac:dyDescent="0.3">
      <c r="B24" s="167"/>
      <c r="C24" s="39"/>
      <c r="D24" s="40" t="s">
        <v>341</v>
      </c>
      <c r="E24" s="41"/>
      <c r="F24" s="168">
        <v>11</v>
      </c>
      <c r="G24" s="168" t="s">
        <v>236</v>
      </c>
      <c r="H24" s="169">
        <v>51.11</v>
      </c>
      <c r="I24" s="169">
        <v>71.11</v>
      </c>
      <c r="J24" s="105">
        <f t="shared" si="3"/>
        <v>562.21</v>
      </c>
      <c r="K24" s="105">
        <f t="shared" si="4"/>
        <v>782.21</v>
      </c>
      <c r="L24" s="105">
        <f t="shared" si="5"/>
        <v>1344.42</v>
      </c>
      <c r="M24" s="170"/>
      <c r="N24" s="41"/>
    </row>
    <row r="25" spans="2:14" x14ac:dyDescent="0.3">
      <c r="B25" s="167"/>
      <c r="C25" s="39"/>
      <c r="D25" s="40" t="s">
        <v>342</v>
      </c>
      <c r="E25" s="41"/>
      <c r="F25" s="168">
        <v>111</v>
      </c>
      <c r="G25" s="168" t="s">
        <v>236</v>
      </c>
      <c r="H25" s="169">
        <v>411.11</v>
      </c>
      <c r="I25" s="169">
        <v>611.11</v>
      </c>
      <c r="J25" s="105">
        <f t="shared" si="3"/>
        <v>45633.21</v>
      </c>
      <c r="K25" s="105">
        <f t="shared" si="4"/>
        <v>67833.210000000006</v>
      </c>
      <c r="L25" s="105">
        <f t="shared" si="5"/>
        <v>113466.42000000001</v>
      </c>
      <c r="M25" s="170"/>
      <c r="N25" s="41"/>
    </row>
    <row r="26" spans="2:14" x14ac:dyDescent="0.3">
      <c r="B26" s="167"/>
      <c r="C26" s="39"/>
      <c r="D26" s="40"/>
      <c r="E26" s="41"/>
      <c r="F26" s="168"/>
      <c r="G26" s="168"/>
      <c r="H26" s="169"/>
      <c r="I26" s="169"/>
      <c r="J26" s="105"/>
      <c r="K26" s="105"/>
      <c r="L26" s="105"/>
      <c r="M26" s="170"/>
      <c r="N26" s="41"/>
    </row>
    <row r="27" spans="2:14" x14ac:dyDescent="0.3">
      <c r="B27" s="167"/>
      <c r="C27" s="39"/>
      <c r="D27" s="40" t="s">
        <v>381</v>
      </c>
      <c r="E27" s="41"/>
      <c r="F27" s="105"/>
      <c r="G27" s="168"/>
      <c r="H27" s="107"/>
      <c r="I27" s="169"/>
      <c r="J27" s="105">
        <f>SUM(J23:J26)</f>
        <v>46195.42</v>
      </c>
      <c r="K27" s="105">
        <f t="shared" ref="K27:L27" si="6">SUM(K23:K26)</f>
        <v>68615.420000000013</v>
      </c>
      <c r="L27" s="105">
        <f t="shared" si="6"/>
        <v>114810.84000000001</v>
      </c>
      <c r="M27" s="170"/>
      <c r="N27" s="41"/>
    </row>
    <row r="28" spans="2:14" x14ac:dyDescent="0.3">
      <c r="B28" s="167"/>
      <c r="C28" s="39"/>
      <c r="D28" s="40" t="s">
        <v>220</v>
      </c>
      <c r="E28" s="41"/>
      <c r="F28" s="277">
        <v>0.1</v>
      </c>
      <c r="G28" s="272"/>
      <c r="H28" s="169"/>
      <c r="I28" s="169"/>
      <c r="J28" s="105"/>
      <c r="K28" s="105">
        <f>+K27*F28</f>
        <v>6861.5420000000013</v>
      </c>
      <c r="L28" s="105">
        <f>J28+K28</f>
        <v>6861.5420000000013</v>
      </c>
      <c r="M28" s="170" t="s">
        <v>221</v>
      </c>
      <c r="N28" s="41"/>
    </row>
    <row r="29" spans="2:14" x14ac:dyDescent="0.3">
      <c r="B29" s="167"/>
      <c r="C29" s="39"/>
      <c r="D29" s="40" t="s">
        <v>219</v>
      </c>
      <c r="E29" s="41"/>
      <c r="F29" s="107"/>
      <c r="G29" s="168"/>
      <c r="H29" s="169"/>
      <c r="I29" s="169"/>
      <c r="J29" s="105"/>
      <c r="K29" s="105"/>
      <c r="L29" s="105">
        <f>+L28+L27</f>
        <v>121672.38200000001</v>
      </c>
      <c r="M29" s="170"/>
      <c r="N29" s="41"/>
    </row>
    <row r="30" spans="2:14" x14ac:dyDescent="0.3">
      <c r="B30" s="167"/>
      <c r="C30" s="39"/>
      <c r="D30" s="40" t="s">
        <v>222</v>
      </c>
      <c r="E30" s="41"/>
      <c r="F30" s="374">
        <f>+'INSTRUCTIONS and DATA'!J14</f>
        <v>0.2</v>
      </c>
      <c r="G30" s="168"/>
      <c r="H30" s="169"/>
      <c r="I30" s="169"/>
      <c r="J30" s="105"/>
      <c r="K30" s="105"/>
      <c r="L30" s="105">
        <f>+L29*F30</f>
        <v>24334.476400000003</v>
      </c>
      <c r="M30" s="170"/>
      <c r="N30" s="41"/>
    </row>
    <row r="31" spans="2:14" x14ac:dyDescent="0.3">
      <c r="B31" s="167"/>
      <c r="C31" s="39"/>
      <c r="D31" s="260" t="s">
        <v>382</v>
      </c>
      <c r="E31" s="261"/>
      <c r="F31" s="275"/>
      <c r="G31" s="262"/>
      <c r="H31" s="275"/>
      <c r="I31" s="275"/>
      <c r="J31" s="278"/>
      <c r="K31" s="278"/>
      <c r="L31" s="279">
        <f>+L30+L29</f>
        <v>146006.85840000003</v>
      </c>
      <c r="M31" s="170"/>
      <c r="N31" s="41"/>
    </row>
    <row r="32" spans="2:14" x14ac:dyDescent="0.3">
      <c r="B32" s="167"/>
      <c r="C32" s="39"/>
      <c r="D32" s="40"/>
      <c r="E32" s="41"/>
      <c r="F32" s="168"/>
      <c r="G32" s="168"/>
      <c r="H32" s="169"/>
      <c r="I32" s="169"/>
      <c r="J32" s="105"/>
      <c r="K32" s="105"/>
      <c r="L32" s="105"/>
      <c r="M32" s="170"/>
      <c r="N32" s="41"/>
    </row>
    <row r="33" spans="2:14" x14ac:dyDescent="0.3">
      <c r="B33" s="167"/>
      <c r="C33" s="39"/>
      <c r="D33" s="260" t="s">
        <v>387</v>
      </c>
      <c r="E33" s="41"/>
      <c r="F33" s="168"/>
      <c r="G33" s="168"/>
      <c r="H33" s="169"/>
      <c r="I33" s="169"/>
      <c r="J33" s="105"/>
      <c r="K33" s="105"/>
      <c r="L33" s="279">
        <f>+L31+L20</f>
        <v>277250.85840000003</v>
      </c>
      <c r="M33" s="170" t="s">
        <v>384</v>
      </c>
      <c r="N33" s="41"/>
    </row>
    <row r="34" spans="2:14" x14ac:dyDescent="0.3">
      <c r="B34" s="167"/>
      <c r="C34" s="39"/>
      <c r="D34" s="40"/>
      <c r="E34" s="41"/>
      <c r="F34" s="168"/>
      <c r="G34" s="168"/>
      <c r="H34" s="169"/>
      <c r="I34" s="169"/>
      <c r="J34" s="105"/>
      <c r="K34" s="105"/>
      <c r="L34" s="105"/>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9" spans="2:14" x14ac:dyDescent="0.3">
      <c r="K39" s="64"/>
      <c r="L39" s="273"/>
    </row>
    <row r="41" spans="2:14" x14ac:dyDescent="0.3">
      <c r="B41" s="1" t="s">
        <v>85</v>
      </c>
    </row>
    <row r="43" spans="2:14" x14ac:dyDescent="0.3">
      <c r="B43"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64"/>
  <sheetViews>
    <sheetView zoomScaleNormal="100" workbookViewId="0">
      <selection activeCell="B5" sqref="B5"/>
    </sheetView>
  </sheetViews>
  <sheetFormatPr defaultColWidth="9.1796875" defaultRowHeight="14.5" x14ac:dyDescent="0.35"/>
  <cols>
    <col min="1" max="1" width="9.1796875" style="128"/>
    <col min="2" max="2" width="5.7265625" style="128" customWidth="1"/>
    <col min="3" max="3" width="2.453125" style="128" customWidth="1"/>
    <col min="4" max="11" width="9.1796875" style="128"/>
    <col min="12" max="12" width="9.7265625" style="128" bestFit="1" customWidth="1"/>
    <col min="13" max="16384" width="9.1796875" style="128"/>
  </cols>
  <sheetData>
    <row r="2" spans="2:13" ht="15.5" x14ac:dyDescent="0.35">
      <c r="B2" s="141" t="s">
        <v>187</v>
      </c>
    </row>
    <row r="3" spans="2:13" ht="15.5" x14ac:dyDescent="0.35">
      <c r="B3" s="141" t="s">
        <v>192</v>
      </c>
    </row>
    <row r="5" spans="2:13" x14ac:dyDescent="0.35">
      <c r="B5" s="128" t="s">
        <v>210</v>
      </c>
      <c r="L5" s="251">
        <v>43879</v>
      </c>
      <c r="M5" s="252" t="s">
        <v>191</v>
      </c>
    </row>
    <row r="8" spans="2:13" x14ac:dyDescent="0.35">
      <c r="B8" s="210" t="s">
        <v>104</v>
      </c>
      <c r="C8" s="210" t="s">
        <v>54</v>
      </c>
      <c r="D8" s="210"/>
      <c r="E8" s="210"/>
    </row>
    <row r="9" spans="2:13" ht="195" customHeight="1" x14ac:dyDescent="0.35">
      <c r="C9" s="385" t="s">
        <v>338</v>
      </c>
      <c r="D9" s="385"/>
      <c r="E9" s="385"/>
      <c r="F9" s="385"/>
      <c r="G9" s="385"/>
      <c r="H9" s="385"/>
      <c r="I9" s="385"/>
      <c r="J9" s="385"/>
      <c r="K9" s="385"/>
      <c r="L9" s="385"/>
      <c r="M9" s="385"/>
    </row>
    <row r="10" spans="2:13" x14ac:dyDescent="0.35">
      <c r="C10" s="191"/>
    </row>
    <row r="11" spans="2:13" ht="14.5" customHeight="1" x14ac:dyDescent="0.35">
      <c r="B11" s="210" t="s">
        <v>144</v>
      </c>
      <c r="C11" s="210" t="s">
        <v>337</v>
      </c>
      <c r="D11" s="210"/>
      <c r="E11" s="210"/>
    </row>
    <row r="12" spans="2:13" ht="134.25" customHeight="1" x14ac:dyDescent="0.35">
      <c r="C12" s="385" t="s">
        <v>357</v>
      </c>
      <c r="D12" s="385"/>
      <c r="E12" s="385"/>
      <c r="F12" s="385"/>
      <c r="G12" s="385"/>
      <c r="H12" s="385"/>
      <c r="I12" s="385"/>
      <c r="J12" s="385"/>
      <c r="K12" s="385"/>
      <c r="L12" s="385"/>
      <c r="M12" s="385"/>
    </row>
    <row r="13" spans="2:13" x14ac:dyDescent="0.35">
      <c r="C13" s="191"/>
    </row>
    <row r="14" spans="2:13" x14ac:dyDescent="0.35">
      <c r="B14" s="210" t="str">
        <f>+'Summary Design Build'!B30</f>
        <v>Q.1</v>
      </c>
      <c r="C14" s="210" t="str">
        <f>+'Summary Design Build'!C30</f>
        <v xml:space="preserve">  D-B Design Contingency</v>
      </c>
      <c r="D14" s="210"/>
      <c r="E14" s="210"/>
    </row>
    <row r="15" spans="2:13" ht="180.75" customHeight="1" x14ac:dyDescent="0.35">
      <c r="C15" s="385" t="s">
        <v>213</v>
      </c>
      <c r="D15" s="386"/>
      <c r="E15" s="386"/>
      <c r="F15" s="386"/>
      <c r="G15" s="386"/>
      <c r="H15" s="386"/>
      <c r="I15" s="386"/>
      <c r="J15" s="386"/>
      <c r="K15" s="386"/>
      <c r="L15" s="386"/>
      <c r="M15" s="386"/>
    </row>
    <row r="16" spans="2:13" x14ac:dyDescent="0.35">
      <c r="C16" s="191"/>
    </row>
    <row r="17" spans="2:13" x14ac:dyDescent="0.35">
      <c r="B17" s="210" t="str">
        <f>+'Summary Design Build'!B31</f>
        <v>Q.2</v>
      </c>
      <c r="C17" s="210" t="str">
        <f>+'Summary Design Build'!C31</f>
        <v xml:space="preserve">  D-B A/E Services, Preliminary</v>
      </c>
      <c r="D17" s="210"/>
      <c r="E17" s="210"/>
      <c r="F17" s="210"/>
      <c r="G17" s="210"/>
    </row>
    <row r="18" spans="2:13" ht="91.5" customHeight="1" x14ac:dyDescent="0.35">
      <c r="C18" s="385" t="s">
        <v>209</v>
      </c>
      <c r="D18" s="386"/>
      <c r="E18" s="386"/>
      <c r="F18" s="386"/>
      <c r="G18" s="386"/>
      <c r="H18" s="386"/>
      <c r="I18" s="386"/>
      <c r="J18" s="386"/>
      <c r="K18" s="386"/>
      <c r="L18" s="386"/>
      <c r="M18" s="386"/>
    </row>
    <row r="19" spans="2:13" x14ac:dyDescent="0.35">
      <c r="C19"/>
    </row>
    <row r="20" spans="2:13" x14ac:dyDescent="0.35">
      <c r="B20" s="210" t="str">
        <f>+'Summary Design Build'!B32</f>
        <v>Q.3</v>
      </c>
      <c r="C20" s="210" t="str">
        <f>+'Summary Design Build'!C32</f>
        <v xml:space="preserve">  D-B Preconstruction Services</v>
      </c>
      <c r="D20" s="210"/>
    </row>
    <row r="21" spans="2:13" ht="74.25" customHeight="1" x14ac:dyDescent="0.35">
      <c r="C21" s="385" t="s">
        <v>212</v>
      </c>
      <c r="D21" s="386"/>
      <c r="E21" s="386"/>
      <c r="F21" s="386"/>
      <c r="G21" s="386"/>
      <c r="H21" s="386"/>
      <c r="I21" s="386"/>
      <c r="J21" s="386"/>
      <c r="K21" s="386"/>
      <c r="L21" s="386"/>
      <c r="M21" s="386"/>
    </row>
    <row r="23" spans="2:13" x14ac:dyDescent="0.35">
      <c r="B23" s="210" t="str">
        <f>+'Summary Design Build'!B33</f>
        <v>Q.4</v>
      </c>
      <c r="C23" s="210" t="str">
        <f>+'Summary Design Build'!C33</f>
        <v xml:space="preserve">  D-B A/E Services, Final</v>
      </c>
      <c r="D23" s="210"/>
    </row>
    <row r="24" spans="2:13" ht="60.75" customHeight="1" x14ac:dyDescent="0.35">
      <c r="C24" s="387" t="s">
        <v>214</v>
      </c>
      <c r="D24" s="388"/>
      <c r="E24" s="388"/>
      <c r="F24" s="388"/>
      <c r="G24" s="388"/>
      <c r="H24" s="388"/>
      <c r="I24" s="388"/>
      <c r="J24" s="388"/>
      <c r="K24" s="388"/>
      <c r="L24" s="388"/>
      <c r="M24" s="388"/>
    </row>
    <row r="26" spans="2:13" x14ac:dyDescent="0.35">
      <c r="B26" s="210" t="str">
        <f>+'Summary Design Build'!B34</f>
        <v>Q.5</v>
      </c>
      <c r="C26" s="210" t="str">
        <f>+'Summary Design Build'!C34</f>
        <v xml:space="preserve">  D-B Contractor Overhead</v>
      </c>
      <c r="D26" s="210"/>
    </row>
    <row r="27" spans="2:13" ht="30.75" customHeight="1" x14ac:dyDescent="0.35">
      <c r="C27" s="385" t="s">
        <v>193</v>
      </c>
      <c r="D27" s="386"/>
      <c r="E27" s="386"/>
      <c r="F27" s="386"/>
      <c r="G27" s="386"/>
      <c r="H27" s="386"/>
      <c r="I27" s="386"/>
      <c r="J27" s="386"/>
      <c r="K27" s="386"/>
      <c r="L27" s="386"/>
      <c r="M27" s="386"/>
    </row>
    <row r="29" spans="2:13" x14ac:dyDescent="0.35">
      <c r="B29" s="210" t="str">
        <f>+'Summary Design Build'!B35</f>
        <v>Q.6</v>
      </c>
      <c r="C29" s="210" t="str">
        <f>+'Summary Design Build'!C35</f>
        <v xml:space="preserve">  D-B Contractor Profit</v>
      </c>
      <c r="D29" s="210"/>
    </row>
    <row r="30" spans="2:13" x14ac:dyDescent="0.35">
      <c r="C30" s="385" t="s">
        <v>194</v>
      </c>
      <c r="D30" s="386"/>
      <c r="E30" s="386"/>
      <c r="F30" s="386"/>
      <c r="G30" s="386"/>
      <c r="H30" s="386"/>
      <c r="I30" s="386"/>
      <c r="J30" s="386"/>
      <c r="K30" s="386"/>
      <c r="L30" s="386"/>
      <c r="M30" s="386"/>
    </row>
    <row r="32" spans="2:13" x14ac:dyDescent="0.35">
      <c r="B32" s="210" t="str">
        <f>+'Summary Design Build'!B36</f>
        <v>R</v>
      </c>
      <c r="C32" s="210" t="str">
        <f>+'Summary Design Build'!E36</f>
        <v>Total: Design Build Engineer's Estimate (DBEE)</v>
      </c>
      <c r="D32" s="210"/>
    </row>
    <row r="33" spans="2:13" ht="30" customHeight="1" x14ac:dyDescent="0.35">
      <c r="C33" s="385" t="s">
        <v>195</v>
      </c>
      <c r="D33" s="386"/>
      <c r="E33" s="386"/>
      <c r="F33" s="386"/>
      <c r="G33" s="386"/>
      <c r="H33" s="386"/>
      <c r="I33" s="386"/>
      <c r="J33" s="386"/>
      <c r="K33" s="386"/>
      <c r="L33" s="386"/>
      <c r="M33" s="386"/>
    </row>
    <row r="35" spans="2:13" x14ac:dyDescent="0.35">
      <c r="B35" s="210" t="str">
        <f>+'Summary Design Build'!B37</f>
        <v>S.1</v>
      </c>
      <c r="C35" s="210" t="str">
        <f>+'Summary Design Build'!D37</f>
        <v>Net Cost Work</v>
      </c>
      <c r="D35" s="210"/>
    </row>
    <row r="36" spans="2:13" ht="30" customHeight="1" x14ac:dyDescent="0.35">
      <c r="C36" s="385" t="s">
        <v>196</v>
      </c>
      <c r="D36" s="386"/>
      <c r="E36" s="386"/>
      <c r="F36" s="386"/>
      <c r="G36" s="386"/>
      <c r="H36" s="386"/>
      <c r="I36" s="386"/>
      <c r="J36" s="386"/>
      <c r="K36" s="386"/>
      <c r="L36" s="386"/>
      <c r="M36" s="386"/>
    </row>
    <row r="38" spans="2:13" x14ac:dyDescent="0.35">
      <c r="B38" s="210" t="str">
        <f>+'Summary Design Build'!B39</f>
        <v>S.3</v>
      </c>
      <c r="C38" s="210" t="str">
        <f>+'Summary Design Build'!D39</f>
        <v>Extra Work</v>
      </c>
      <c r="D38" s="210"/>
    </row>
    <row r="39" spans="2:13" ht="61.5" customHeight="1" x14ac:dyDescent="0.35">
      <c r="C39" s="385" t="s">
        <v>358</v>
      </c>
      <c r="D39" s="386"/>
      <c r="E39" s="386"/>
      <c r="F39" s="386"/>
      <c r="G39" s="386"/>
      <c r="H39" s="386"/>
      <c r="I39" s="386"/>
      <c r="J39" s="386"/>
      <c r="K39" s="386"/>
      <c r="L39" s="386"/>
      <c r="M39" s="386"/>
    </row>
    <row r="41" spans="2:13" x14ac:dyDescent="0.35">
      <c r="B41" s="210" t="str">
        <f>+'Summary Design Build'!B40</f>
        <v>S.4</v>
      </c>
      <c r="C41" s="210" t="str">
        <f>+'Summary Design Build'!C40</f>
        <v xml:space="preserve">  Other</v>
      </c>
      <c r="D41" s="210"/>
    </row>
    <row r="42" spans="2:13" ht="61.5" customHeight="1" x14ac:dyDescent="0.35">
      <c r="C42" s="385" t="s">
        <v>200</v>
      </c>
      <c r="D42" s="386"/>
      <c r="E42" s="386"/>
      <c r="F42" s="386"/>
      <c r="G42" s="386"/>
      <c r="H42" s="386"/>
      <c r="I42" s="386"/>
      <c r="J42" s="386"/>
      <c r="K42" s="386"/>
      <c r="L42" s="386"/>
      <c r="M42" s="386"/>
    </row>
    <row r="44" spans="2:13" x14ac:dyDescent="0.35">
      <c r="B44" s="210" t="str">
        <f>+'Summary Design Build'!B41</f>
        <v>T</v>
      </c>
      <c r="C44" s="210" t="str">
        <f>+'Summary Design Build'!E41</f>
        <v>Sub-Total: Design Builder Construction Cost</v>
      </c>
      <c r="D44" s="210"/>
    </row>
    <row r="45" spans="2:13" ht="30.75" customHeight="1" x14ac:dyDescent="0.35">
      <c r="C45" s="385" t="s">
        <v>199</v>
      </c>
      <c r="D45" s="386"/>
      <c r="E45" s="386"/>
      <c r="F45" s="386"/>
      <c r="G45" s="386"/>
      <c r="H45" s="386"/>
      <c r="I45" s="386"/>
      <c r="J45" s="386"/>
      <c r="K45" s="386"/>
      <c r="L45" s="386"/>
      <c r="M45" s="386"/>
    </row>
    <row r="47" spans="2:13" x14ac:dyDescent="0.35">
      <c r="B47" s="210" t="str">
        <f>+'Summary Design Build'!B42</f>
        <v>U</v>
      </c>
      <c r="C47" s="210" t="str">
        <f>+'Summary Design Build'!C42</f>
        <v xml:space="preserve">  Subcontractor and D-B Contractor Perf Bond</v>
      </c>
    </row>
    <row r="48" spans="2:13" ht="76.5" customHeight="1" x14ac:dyDescent="0.35">
      <c r="C48" s="385" t="s">
        <v>197</v>
      </c>
      <c r="D48" s="386"/>
      <c r="E48" s="386"/>
      <c r="F48" s="386"/>
      <c r="G48" s="386"/>
      <c r="H48" s="386"/>
      <c r="I48" s="386"/>
      <c r="J48" s="386"/>
      <c r="K48" s="386"/>
      <c r="L48" s="386"/>
      <c r="M48" s="386"/>
    </row>
    <row r="50" spans="2:13" x14ac:dyDescent="0.35">
      <c r="B50" s="210" t="str">
        <f>+'Summary Design Build'!B43</f>
        <v>V</v>
      </c>
      <c r="C50" s="210" t="str">
        <f>+'Summary Design Build'!E43</f>
        <v xml:space="preserve">  Total: Design-Build Cost (TDBC)</v>
      </c>
    </row>
    <row r="51" spans="2:13" ht="31.5" customHeight="1" x14ac:dyDescent="0.35">
      <c r="C51" s="385" t="s">
        <v>198</v>
      </c>
      <c r="D51" s="386"/>
      <c r="E51" s="386"/>
      <c r="F51" s="386"/>
      <c r="G51" s="386"/>
      <c r="H51" s="386"/>
      <c r="I51" s="386"/>
      <c r="J51" s="386"/>
      <c r="K51" s="386"/>
      <c r="L51" s="386"/>
      <c r="M51" s="386"/>
    </row>
    <row r="53" spans="2:13" x14ac:dyDescent="0.35">
      <c r="B53" s="210" t="s">
        <v>201</v>
      </c>
    </row>
    <row r="54" spans="2:13" ht="43.5" customHeight="1" x14ac:dyDescent="0.35">
      <c r="C54" s="385" t="s">
        <v>202</v>
      </c>
      <c r="D54" s="386"/>
      <c r="E54" s="386"/>
      <c r="F54" s="386"/>
      <c r="G54" s="386"/>
      <c r="H54" s="386"/>
      <c r="I54" s="386"/>
      <c r="J54" s="386"/>
      <c r="K54" s="386"/>
      <c r="L54" s="386"/>
      <c r="M54" s="386"/>
    </row>
    <row r="55" spans="2:13" x14ac:dyDescent="0.35">
      <c r="E55" s="128" t="s">
        <v>203</v>
      </c>
    </row>
    <row r="56" spans="2:13" x14ac:dyDescent="0.35">
      <c r="E56" s="128" t="s">
        <v>204</v>
      </c>
    </row>
    <row r="57" spans="2:13" x14ac:dyDescent="0.35">
      <c r="E57" s="128" t="s">
        <v>205</v>
      </c>
    </row>
    <row r="58" spans="2:13" x14ac:dyDescent="0.35">
      <c r="E58" s="128" t="s">
        <v>206</v>
      </c>
    </row>
    <row r="59" spans="2:13" x14ac:dyDescent="0.35">
      <c r="E59" s="128" t="s">
        <v>207</v>
      </c>
    </row>
    <row r="60" spans="2:13" x14ac:dyDescent="0.35">
      <c r="E60" s="128" t="s">
        <v>208</v>
      </c>
    </row>
    <row r="61" spans="2:13" x14ac:dyDescent="0.35">
      <c r="E61" s="128" t="s">
        <v>324</v>
      </c>
    </row>
    <row r="62" spans="2:13" x14ac:dyDescent="0.35">
      <c r="E62" s="128" t="s">
        <v>216</v>
      </c>
    </row>
    <row r="63" spans="2:13" x14ac:dyDescent="0.35">
      <c r="E63" s="128" t="s">
        <v>215</v>
      </c>
    </row>
    <row r="64" spans="2:13" x14ac:dyDescent="0.35">
      <c r="C64" s="128" t="s">
        <v>211</v>
      </c>
    </row>
  </sheetData>
  <mergeCells count="16">
    <mergeCell ref="C9:M9"/>
    <mergeCell ref="C12:M12"/>
    <mergeCell ref="C54:M54"/>
    <mergeCell ref="C39:M39"/>
    <mergeCell ref="C42:M42"/>
    <mergeCell ref="C45:M45"/>
    <mergeCell ref="C48:M48"/>
    <mergeCell ref="C51:M51"/>
    <mergeCell ref="C27:M27"/>
    <mergeCell ref="C30:M30"/>
    <mergeCell ref="C33:M33"/>
    <mergeCell ref="C36:M36"/>
    <mergeCell ref="C15:M15"/>
    <mergeCell ref="C18:M18"/>
    <mergeCell ref="C21:M21"/>
    <mergeCell ref="C24:M24"/>
  </mergeCells>
  <pageMargins left="0.7" right="0.7" top="0.75" bottom="0.75" header="0.3" footer="0.3"/>
  <pageSetup scale="84" orientation="portrait" horizontalDpi="0" verticalDpi="0" r:id="rId1"/>
  <rowBreaks count="1" manualBreakCount="1">
    <brk id="30"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350</v>
      </c>
      <c r="D12" s="40"/>
      <c r="E12" s="41"/>
      <c r="F12" s="168"/>
      <c r="G12" s="168"/>
      <c r="H12" s="169"/>
      <c r="I12" s="169"/>
      <c r="J12" s="105">
        <f t="shared" si="0"/>
        <v>0</v>
      </c>
      <c r="K12" s="105">
        <f t="shared" si="1"/>
        <v>0</v>
      </c>
      <c r="L12" s="105">
        <f>J12+K12</f>
        <v>0</v>
      </c>
      <c r="M12" s="170"/>
      <c r="N12" s="41"/>
    </row>
    <row r="13" spans="2:14" x14ac:dyDescent="0.3">
      <c r="B13" s="167"/>
      <c r="C13" s="39"/>
      <c r="D13" s="40" t="s">
        <v>353</v>
      </c>
      <c r="E13" s="41"/>
      <c r="F13" s="168">
        <v>10</v>
      </c>
      <c r="G13" s="168" t="s">
        <v>236</v>
      </c>
      <c r="H13" s="169">
        <v>51</v>
      </c>
      <c r="I13" s="169">
        <v>71</v>
      </c>
      <c r="J13" s="105">
        <f t="shared" si="0"/>
        <v>510</v>
      </c>
      <c r="K13" s="105">
        <f t="shared" si="1"/>
        <v>710</v>
      </c>
      <c r="L13" s="105">
        <f>J13+K13</f>
        <v>1220</v>
      </c>
      <c r="M13" s="170"/>
      <c r="N13" s="41"/>
    </row>
    <row r="14" spans="2:14" x14ac:dyDescent="0.3">
      <c r="B14" s="167"/>
      <c r="C14" s="39"/>
      <c r="D14" s="40" t="s">
        <v>354</v>
      </c>
      <c r="E14" s="41"/>
      <c r="F14" s="168">
        <v>100</v>
      </c>
      <c r="G14" s="168" t="s">
        <v>236</v>
      </c>
      <c r="H14" s="169">
        <v>411</v>
      </c>
      <c r="I14" s="169">
        <v>611</v>
      </c>
      <c r="J14" s="105">
        <f t="shared" si="0"/>
        <v>41100</v>
      </c>
      <c r="K14" s="105">
        <f t="shared" si="1"/>
        <v>61100</v>
      </c>
      <c r="L14" s="105">
        <f>J14+K14</f>
        <v>102200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41610</v>
      </c>
      <c r="K30" s="105">
        <f>SUM(K10:K29)</f>
        <v>61810</v>
      </c>
      <c r="L30" s="105">
        <f>SUM(L10:L29)</f>
        <v>103420</v>
      </c>
      <c r="M30" s="170"/>
      <c r="N30" s="41"/>
    </row>
    <row r="31" spans="2:14" x14ac:dyDescent="0.3">
      <c r="B31" s="167"/>
      <c r="C31" s="39"/>
      <c r="D31" s="40" t="s">
        <v>220</v>
      </c>
      <c r="E31" s="41"/>
      <c r="F31" s="277">
        <v>0.1</v>
      </c>
      <c r="G31" s="272"/>
      <c r="H31" s="169"/>
      <c r="I31" s="169"/>
      <c r="J31" s="105"/>
      <c r="K31" s="105">
        <f>+K30*F31</f>
        <v>6181</v>
      </c>
      <c r="L31" s="105">
        <f>J31+K31</f>
        <v>6181</v>
      </c>
      <c r="M31" s="170" t="s">
        <v>221</v>
      </c>
      <c r="N31" s="41"/>
    </row>
    <row r="32" spans="2:14" x14ac:dyDescent="0.3">
      <c r="B32" s="167"/>
      <c r="C32" s="39"/>
      <c r="D32" s="40" t="s">
        <v>219</v>
      </c>
      <c r="E32" s="41"/>
      <c r="F32" s="107"/>
      <c r="G32" s="168"/>
      <c r="H32" s="169"/>
      <c r="I32" s="169"/>
      <c r="J32" s="105"/>
      <c r="K32" s="105"/>
      <c r="L32" s="105">
        <f>+L31+L30</f>
        <v>109601</v>
      </c>
      <c r="M32" s="170"/>
      <c r="N32" s="41"/>
    </row>
    <row r="33" spans="2:14" x14ac:dyDescent="0.3">
      <c r="B33" s="167"/>
      <c r="C33" s="39"/>
      <c r="D33" s="40" t="s">
        <v>222</v>
      </c>
      <c r="E33" s="41"/>
      <c r="F33" s="294">
        <f>+'INSTRUCTIONS and DATA'!J14</f>
        <v>0.2</v>
      </c>
      <c r="G33" s="168"/>
      <c r="H33" s="169"/>
      <c r="I33" s="169"/>
      <c r="J33" s="105"/>
      <c r="K33" s="105"/>
      <c r="L33" s="105">
        <f>+L32*F33</f>
        <v>21920.2</v>
      </c>
      <c r="M33" s="170"/>
      <c r="N33" s="41"/>
    </row>
    <row r="34" spans="2:14" x14ac:dyDescent="0.3">
      <c r="B34" s="167"/>
      <c r="C34" s="39"/>
      <c r="D34" s="260" t="s">
        <v>217</v>
      </c>
      <c r="E34" s="261"/>
      <c r="F34" s="275"/>
      <c r="G34" s="262"/>
      <c r="H34" s="275"/>
      <c r="I34" s="275"/>
      <c r="J34" s="278"/>
      <c r="K34" s="278"/>
      <c r="L34" s="279">
        <f>+L33+L32</f>
        <v>131521.20000000001</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N44"/>
  <sheetViews>
    <sheetView zoomScale="110" zoomScaleNormal="110" workbookViewId="0">
      <selection activeCell="D2" sqref="D2"/>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351</v>
      </c>
      <c r="D12" s="40"/>
      <c r="E12" s="41"/>
      <c r="F12" s="168"/>
      <c r="G12" s="168"/>
      <c r="H12" s="169"/>
      <c r="I12" s="169"/>
      <c r="J12" s="105">
        <f t="shared" si="0"/>
        <v>0</v>
      </c>
      <c r="K12" s="105">
        <f t="shared" si="1"/>
        <v>0</v>
      </c>
      <c r="L12" s="105">
        <f>J12+K12</f>
        <v>0</v>
      </c>
      <c r="M12" s="170"/>
      <c r="N12" s="41"/>
    </row>
    <row r="13" spans="2:14" x14ac:dyDescent="0.3">
      <c r="B13" s="167"/>
      <c r="C13" s="39"/>
      <c r="D13" s="40" t="s">
        <v>257</v>
      </c>
      <c r="E13" s="41"/>
      <c r="F13" s="168">
        <v>10</v>
      </c>
      <c r="G13" s="168" t="s">
        <v>236</v>
      </c>
      <c r="H13" s="169">
        <v>52</v>
      </c>
      <c r="I13" s="169">
        <v>72</v>
      </c>
      <c r="J13" s="105">
        <f t="shared" si="0"/>
        <v>520</v>
      </c>
      <c r="K13" s="105">
        <f t="shared" si="1"/>
        <v>720</v>
      </c>
      <c r="L13" s="105">
        <f>J13+K13</f>
        <v>1240</v>
      </c>
      <c r="M13" s="170"/>
      <c r="N13" s="41"/>
    </row>
    <row r="14" spans="2:14" x14ac:dyDescent="0.3">
      <c r="B14" s="167"/>
      <c r="C14" s="39"/>
      <c r="D14" s="40" t="s">
        <v>258</v>
      </c>
      <c r="E14" s="41"/>
      <c r="F14" s="168">
        <v>100</v>
      </c>
      <c r="G14" s="168" t="s">
        <v>236</v>
      </c>
      <c r="H14" s="169">
        <v>412</v>
      </c>
      <c r="I14" s="169">
        <v>612</v>
      </c>
      <c r="J14" s="105">
        <f t="shared" si="0"/>
        <v>41200</v>
      </c>
      <c r="K14" s="105">
        <f t="shared" si="1"/>
        <v>61200</v>
      </c>
      <c r="L14" s="105">
        <f>J14+K14</f>
        <v>102400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41720</v>
      </c>
      <c r="K30" s="105">
        <f>SUM(K10:K29)</f>
        <v>61920</v>
      </c>
      <c r="L30" s="105">
        <f>SUM(L10:L29)</f>
        <v>103640</v>
      </c>
      <c r="M30" s="170"/>
      <c r="N30" s="41"/>
    </row>
    <row r="31" spans="2:14" x14ac:dyDescent="0.3">
      <c r="B31" s="167"/>
      <c r="C31" s="39"/>
      <c r="D31" s="40" t="s">
        <v>220</v>
      </c>
      <c r="E31" s="41"/>
      <c r="F31" s="277">
        <v>0.1</v>
      </c>
      <c r="G31" s="272"/>
      <c r="H31" s="169"/>
      <c r="I31" s="169"/>
      <c r="J31" s="105"/>
      <c r="K31" s="105">
        <f>+K30*F31</f>
        <v>6192</v>
      </c>
      <c r="L31" s="105">
        <f>J31+K31</f>
        <v>6192</v>
      </c>
      <c r="M31" s="170" t="s">
        <v>221</v>
      </c>
      <c r="N31" s="41"/>
    </row>
    <row r="32" spans="2:14" x14ac:dyDescent="0.3">
      <c r="B32" s="167"/>
      <c r="C32" s="39"/>
      <c r="D32" s="40" t="s">
        <v>219</v>
      </c>
      <c r="E32" s="41"/>
      <c r="F32" s="107"/>
      <c r="G32" s="168"/>
      <c r="H32" s="169"/>
      <c r="I32" s="169"/>
      <c r="J32" s="105"/>
      <c r="K32" s="105"/>
      <c r="L32" s="105">
        <f>+L31+L30</f>
        <v>109832</v>
      </c>
      <c r="M32" s="170"/>
      <c r="N32" s="41"/>
    </row>
    <row r="33" spans="2:14" x14ac:dyDescent="0.3">
      <c r="B33" s="167"/>
      <c r="C33" s="39"/>
      <c r="D33" s="40" t="s">
        <v>222</v>
      </c>
      <c r="E33" s="41"/>
      <c r="F33" s="294">
        <f>+'INSTRUCTIONS and DATA'!J14</f>
        <v>0.2</v>
      </c>
      <c r="G33" s="168"/>
      <c r="H33" s="169"/>
      <c r="I33" s="169"/>
      <c r="J33" s="105"/>
      <c r="K33" s="105"/>
      <c r="L33" s="105">
        <f>+L32*F33</f>
        <v>21966.400000000001</v>
      </c>
      <c r="M33" s="170"/>
      <c r="N33" s="41"/>
    </row>
    <row r="34" spans="2:14" x14ac:dyDescent="0.3">
      <c r="B34" s="167"/>
      <c r="C34" s="39"/>
      <c r="D34" s="260" t="s">
        <v>217</v>
      </c>
      <c r="E34" s="261"/>
      <c r="F34" s="275"/>
      <c r="G34" s="262"/>
      <c r="H34" s="275"/>
      <c r="I34" s="275"/>
      <c r="J34" s="278"/>
      <c r="K34" s="278"/>
      <c r="L34" s="279">
        <f>+L33+L32</f>
        <v>131798.39999999999</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214FF-C733-40C1-AEE2-8C0CAEFE6D0C}">
  <dimension ref="B2:N44"/>
  <sheetViews>
    <sheetView zoomScale="110" zoomScaleNormal="110" workbookViewId="0">
      <selection activeCell="E19" sqref="E19"/>
    </sheetView>
  </sheetViews>
  <sheetFormatPr defaultColWidth="9.1796875" defaultRowHeight="13" x14ac:dyDescent="0.3"/>
  <cols>
    <col min="1" max="1" width="3.1796875" style="1" customWidth="1"/>
    <col min="2" max="2" width="9.1796875" style="1"/>
    <col min="3" max="3" width="3.1796875" style="1" customWidth="1"/>
    <col min="4" max="4" width="11.26953125" style="1" customWidth="1"/>
    <col min="5" max="5" width="13.453125" style="1" customWidth="1"/>
    <col min="6" max="6" width="11.81640625" style="1" customWidth="1"/>
    <col min="7" max="7" width="6.54296875" style="1" customWidth="1"/>
    <col min="8" max="9" width="9.1796875" style="1"/>
    <col min="10" max="10" width="10.1796875" style="1" customWidth="1"/>
    <col min="11" max="11" width="11.81640625" style="1" customWidth="1"/>
    <col min="12" max="12" width="13" style="1" customWidth="1"/>
    <col min="13" max="13" width="7" style="1" customWidth="1"/>
    <col min="14" max="14" width="30.81640625" style="1" customWidth="1"/>
    <col min="15" max="16384" width="9.1796875" style="1"/>
  </cols>
  <sheetData>
    <row r="2" spans="2:14" ht="15.5" x14ac:dyDescent="0.35">
      <c r="B2" s="6" t="s">
        <v>65</v>
      </c>
      <c r="D2" s="84">
        <f>+'INSTRUCTIONS and DATA'!E20</f>
        <v>0</v>
      </c>
      <c r="H2" s="364" t="s">
        <v>359</v>
      </c>
      <c r="K2" s="164" t="s">
        <v>66</v>
      </c>
      <c r="L2" s="155"/>
      <c r="M2" s="156" t="s">
        <v>67</v>
      </c>
      <c r="N2" s="157" t="s">
        <v>90</v>
      </c>
    </row>
    <row r="3" spans="2:14" ht="15.5" x14ac:dyDescent="0.35">
      <c r="B3" s="6" t="s">
        <v>68</v>
      </c>
      <c r="D3" s="8"/>
      <c r="E3" s="362"/>
      <c r="F3" s="362"/>
      <c r="G3" s="362"/>
      <c r="H3" s="364" t="s">
        <v>360</v>
      </c>
      <c r="I3" s="362"/>
      <c r="J3" s="362"/>
      <c r="K3" s="164" t="s">
        <v>70</v>
      </c>
      <c r="L3" s="155"/>
      <c r="M3" s="156" t="s">
        <v>71</v>
      </c>
      <c r="N3" s="3"/>
    </row>
    <row r="4" spans="2:14" ht="14.5" x14ac:dyDescent="0.35">
      <c r="B4" s="6" t="s">
        <v>81</v>
      </c>
      <c r="D4" s="8"/>
      <c r="E4" s="158"/>
      <c r="F4" s="158"/>
      <c r="G4" s="158"/>
      <c r="H4" s="365" t="s">
        <v>361</v>
      </c>
      <c r="I4" s="158"/>
      <c r="J4" s="158"/>
      <c r="K4" s="164" t="s">
        <v>73</v>
      </c>
      <c r="L4" s="159"/>
      <c r="M4" s="156" t="s">
        <v>71</v>
      </c>
      <c r="N4" s="3"/>
    </row>
    <row r="5" spans="2:14" ht="14.5" x14ac:dyDescent="0.35">
      <c r="B5" s="1" t="s">
        <v>1</v>
      </c>
      <c r="D5" s="160">
        <f>+'INSTRUCTIONS and DATA'!E8</f>
        <v>0</v>
      </c>
      <c r="E5" s="161"/>
      <c r="F5" s="162"/>
      <c r="G5" s="162"/>
      <c r="H5" s="162"/>
      <c r="I5" s="162"/>
      <c r="J5" s="162"/>
      <c r="K5" s="160"/>
      <c r="L5" s="155"/>
      <c r="M5" s="155"/>
      <c r="N5" s="3"/>
    </row>
    <row r="6" spans="2:14" ht="14.5" x14ac:dyDescent="0.35">
      <c r="D6" s="164" t="s">
        <v>74</v>
      </c>
      <c r="E6" s="28"/>
      <c r="F6" s="163"/>
      <c r="G6" s="163"/>
      <c r="H6" s="163"/>
      <c r="I6" s="163"/>
      <c r="K6" s="164" t="s">
        <v>75</v>
      </c>
      <c r="L6" s="28"/>
      <c r="M6" s="163"/>
      <c r="N6" s="165"/>
    </row>
    <row r="7" spans="2:14" ht="13.5" thickBot="1" x14ac:dyDescent="0.35">
      <c r="D7" s="4"/>
      <c r="E7" s="166"/>
      <c r="F7" s="4"/>
      <c r="G7" s="4"/>
      <c r="H7" s="4"/>
      <c r="I7" s="4"/>
      <c r="J7" s="4"/>
      <c r="K7" s="4"/>
      <c r="L7" s="4"/>
      <c r="M7" s="4"/>
      <c r="N7" s="4"/>
    </row>
    <row r="8" spans="2:14" x14ac:dyDescent="0.3">
      <c r="B8" s="256" t="s">
        <v>7</v>
      </c>
      <c r="C8" s="442" t="s">
        <v>35</v>
      </c>
      <c r="D8" s="446"/>
      <c r="E8" s="447"/>
      <c r="F8" s="450" t="s">
        <v>36</v>
      </c>
      <c r="G8" s="450" t="s">
        <v>34</v>
      </c>
      <c r="H8" s="452" t="s">
        <v>77</v>
      </c>
      <c r="I8" s="453"/>
      <c r="J8" s="454" t="s">
        <v>78</v>
      </c>
      <c r="K8" s="455"/>
      <c r="L8" s="440" t="s">
        <v>78</v>
      </c>
      <c r="M8" s="442" t="s">
        <v>79</v>
      </c>
      <c r="N8" s="443"/>
    </row>
    <row r="9" spans="2:14" ht="13.5" thickBot="1" x14ac:dyDescent="0.35">
      <c r="B9" s="257" t="s">
        <v>82</v>
      </c>
      <c r="C9" s="444"/>
      <c r="D9" s="448"/>
      <c r="E9" s="449"/>
      <c r="F9" s="451"/>
      <c r="G9" s="451"/>
      <c r="H9" s="258" t="s">
        <v>83</v>
      </c>
      <c r="I9" s="258" t="s">
        <v>84</v>
      </c>
      <c r="J9" s="259" t="s">
        <v>83</v>
      </c>
      <c r="K9" s="259" t="s">
        <v>84</v>
      </c>
      <c r="L9" s="441"/>
      <c r="M9" s="444"/>
      <c r="N9" s="445"/>
    </row>
    <row r="10" spans="2:14" x14ac:dyDescent="0.3">
      <c r="B10" s="167"/>
      <c r="C10" s="39"/>
      <c r="D10" s="40"/>
      <c r="E10" s="41"/>
      <c r="F10" s="168"/>
      <c r="G10" s="168"/>
      <c r="H10" s="169"/>
      <c r="I10" s="169"/>
      <c r="J10" s="105">
        <f t="shared" ref="J10:J28" si="0">+F10*H10</f>
        <v>0</v>
      </c>
      <c r="K10" s="105">
        <f t="shared" ref="K10:K28" si="1">+F10*I10</f>
        <v>0</v>
      </c>
      <c r="L10" s="105">
        <f>J10+K10</f>
        <v>0</v>
      </c>
      <c r="M10" s="170"/>
      <c r="N10" s="41"/>
    </row>
    <row r="11" spans="2:14" x14ac:dyDescent="0.3">
      <c r="B11" s="167"/>
      <c r="C11" s="39"/>
      <c r="D11" s="40"/>
      <c r="E11" s="41"/>
      <c r="F11" s="168"/>
      <c r="G11" s="168"/>
      <c r="H11" s="169"/>
      <c r="I11" s="169"/>
      <c r="J11" s="105">
        <f t="shared" si="0"/>
        <v>0</v>
      </c>
      <c r="K11" s="105">
        <f t="shared" si="1"/>
        <v>0</v>
      </c>
      <c r="L11" s="105">
        <f t="shared" ref="L11:L28" si="2">J11+K11</f>
        <v>0</v>
      </c>
      <c r="M11" s="170"/>
      <c r="N11" s="41"/>
    </row>
    <row r="12" spans="2:14" x14ac:dyDescent="0.3">
      <c r="B12" s="167"/>
      <c r="C12" s="344" t="s">
        <v>352</v>
      </c>
      <c r="D12" s="40"/>
      <c r="E12" s="41"/>
      <c r="F12" s="168"/>
      <c r="G12" s="168"/>
      <c r="H12" s="169"/>
      <c r="I12" s="169"/>
      <c r="J12" s="105">
        <f t="shared" si="0"/>
        <v>0</v>
      </c>
      <c r="K12" s="105">
        <f t="shared" si="1"/>
        <v>0</v>
      </c>
      <c r="L12" s="105">
        <f>J12+K12</f>
        <v>0</v>
      </c>
      <c r="M12" s="170"/>
      <c r="N12" s="41"/>
    </row>
    <row r="13" spans="2:14" x14ac:dyDescent="0.3">
      <c r="B13" s="167"/>
      <c r="C13" s="39"/>
      <c r="D13" s="40" t="s">
        <v>255</v>
      </c>
      <c r="E13" s="41"/>
      <c r="F13" s="168">
        <v>10</v>
      </c>
      <c r="G13" s="168" t="s">
        <v>236</v>
      </c>
      <c r="H13" s="169">
        <v>51</v>
      </c>
      <c r="I13" s="169">
        <v>71</v>
      </c>
      <c r="J13" s="105">
        <f t="shared" si="0"/>
        <v>510</v>
      </c>
      <c r="K13" s="105">
        <f t="shared" si="1"/>
        <v>710</v>
      </c>
      <c r="L13" s="105">
        <f>J13+K13</f>
        <v>1220</v>
      </c>
      <c r="M13" s="170"/>
      <c r="N13" s="41"/>
    </row>
    <row r="14" spans="2:14" x14ac:dyDescent="0.3">
      <c r="B14" s="167"/>
      <c r="C14" s="39"/>
      <c r="D14" s="40" t="s">
        <v>256</v>
      </c>
      <c r="E14" s="41"/>
      <c r="F14" s="168">
        <v>100</v>
      </c>
      <c r="G14" s="168" t="s">
        <v>236</v>
      </c>
      <c r="H14" s="169">
        <v>411</v>
      </c>
      <c r="I14" s="169">
        <v>611</v>
      </c>
      <c r="J14" s="105">
        <f t="shared" si="0"/>
        <v>41100</v>
      </c>
      <c r="K14" s="105">
        <f t="shared" si="1"/>
        <v>61100</v>
      </c>
      <c r="L14" s="105">
        <f>J14+K14</f>
        <v>102200</v>
      </c>
      <c r="M14" s="170"/>
      <c r="N14" s="41"/>
    </row>
    <row r="15" spans="2:14" x14ac:dyDescent="0.3">
      <c r="B15" s="167"/>
      <c r="C15" s="39"/>
      <c r="D15" s="40"/>
      <c r="E15" s="41"/>
      <c r="F15" s="168"/>
      <c r="G15" s="168"/>
      <c r="H15" s="169"/>
      <c r="I15" s="169"/>
      <c r="J15" s="105">
        <f t="shared" si="0"/>
        <v>0</v>
      </c>
      <c r="K15" s="105">
        <f t="shared" si="1"/>
        <v>0</v>
      </c>
      <c r="L15" s="105">
        <f>J15+K15</f>
        <v>0</v>
      </c>
      <c r="M15" s="170"/>
      <c r="N15" s="41"/>
    </row>
    <row r="16" spans="2:14" x14ac:dyDescent="0.3">
      <c r="B16" s="167"/>
      <c r="C16" s="39"/>
      <c r="D16" s="40"/>
      <c r="E16" s="41"/>
      <c r="F16" s="168"/>
      <c r="G16" s="168"/>
      <c r="H16" s="169"/>
      <c r="I16" s="169"/>
      <c r="J16" s="105">
        <f t="shared" si="0"/>
        <v>0</v>
      </c>
      <c r="K16" s="105">
        <f t="shared" si="1"/>
        <v>0</v>
      </c>
      <c r="L16" s="105">
        <f t="shared" si="2"/>
        <v>0</v>
      </c>
      <c r="M16" s="170"/>
      <c r="N16" s="41"/>
    </row>
    <row r="17" spans="2:14" x14ac:dyDescent="0.3">
      <c r="B17" s="167"/>
      <c r="C17" s="39"/>
      <c r="D17" s="40"/>
      <c r="E17" s="41"/>
      <c r="F17" s="168"/>
      <c r="G17" s="168"/>
      <c r="H17" s="169"/>
      <c r="I17" s="169"/>
      <c r="J17" s="105">
        <f t="shared" si="0"/>
        <v>0</v>
      </c>
      <c r="K17" s="105">
        <f t="shared" si="1"/>
        <v>0</v>
      </c>
      <c r="L17" s="105">
        <f t="shared" si="2"/>
        <v>0</v>
      </c>
      <c r="M17" s="170"/>
      <c r="N17" s="41"/>
    </row>
    <row r="18" spans="2:14" x14ac:dyDescent="0.3">
      <c r="B18" s="167"/>
      <c r="C18" s="39"/>
      <c r="D18" s="40"/>
      <c r="E18" s="41"/>
      <c r="F18" s="168"/>
      <c r="G18" s="168"/>
      <c r="H18" s="169"/>
      <c r="I18" s="169"/>
      <c r="J18" s="105">
        <f t="shared" si="0"/>
        <v>0</v>
      </c>
      <c r="K18" s="105">
        <f t="shared" si="1"/>
        <v>0</v>
      </c>
      <c r="L18" s="105">
        <f t="shared" si="2"/>
        <v>0</v>
      </c>
      <c r="M18" s="170"/>
      <c r="N18" s="41"/>
    </row>
    <row r="19" spans="2:14" x14ac:dyDescent="0.3">
      <c r="B19" s="167"/>
      <c r="C19" s="39"/>
      <c r="D19" s="40"/>
      <c r="E19" s="41"/>
      <c r="F19" s="168"/>
      <c r="G19" s="168"/>
      <c r="H19" s="169"/>
      <c r="I19" s="169"/>
      <c r="J19" s="105">
        <f t="shared" si="0"/>
        <v>0</v>
      </c>
      <c r="K19" s="105">
        <f t="shared" si="1"/>
        <v>0</v>
      </c>
      <c r="L19" s="105">
        <f t="shared" si="2"/>
        <v>0</v>
      </c>
      <c r="M19" s="170"/>
      <c r="N19" s="41"/>
    </row>
    <row r="20" spans="2:14" x14ac:dyDescent="0.3">
      <c r="B20" s="167"/>
      <c r="C20" s="39"/>
      <c r="D20" s="40"/>
      <c r="E20" s="41"/>
      <c r="F20" s="168"/>
      <c r="G20" s="168"/>
      <c r="H20" s="169"/>
      <c r="I20" s="169"/>
      <c r="J20" s="105">
        <f t="shared" si="0"/>
        <v>0</v>
      </c>
      <c r="K20" s="105">
        <f t="shared" si="1"/>
        <v>0</v>
      </c>
      <c r="L20" s="105">
        <f t="shared" si="2"/>
        <v>0</v>
      </c>
      <c r="M20" s="170"/>
      <c r="N20" s="41"/>
    </row>
    <row r="21" spans="2:14" x14ac:dyDescent="0.3">
      <c r="B21" s="167"/>
      <c r="C21" s="39"/>
      <c r="D21" s="40"/>
      <c r="E21" s="41"/>
      <c r="F21" s="168"/>
      <c r="G21" s="168"/>
      <c r="H21" s="169"/>
      <c r="I21" s="169"/>
      <c r="J21" s="105">
        <f t="shared" si="0"/>
        <v>0</v>
      </c>
      <c r="K21" s="105">
        <f t="shared" si="1"/>
        <v>0</v>
      </c>
      <c r="L21" s="105">
        <f t="shared" si="2"/>
        <v>0</v>
      </c>
      <c r="M21" s="170"/>
      <c r="N21" s="41"/>
    </row>
    <row r="22" spans="2:14" x14ac:dyDescent="0.3">
      <c r="B22" s="167"/>
      <c r="C22" s="39"/>
      <c r="D22" s="40"/>
      <c r="E22" s="41"/>
      <c r="F22" s="168"/>
      <c r="G22" s="168"/>
      <c r="H22" s="169"/>
      <c r="I22" s="169"/>
      <c r="J22" s="105">
        <f t="shared" si="0"/>
        <v>0</v>
      </c>
      <c r="K22" s="105">
        <f t="shared" si="1"/>
        <v>0</v>
      </c>
      <c r="L22" s="105">
        <f t="shared" si="2"/>
        <v>0</v>
      </c>
      <c r="M22" s="170"/>
      <c r="N22" s="41"/>
    </row>
    <row r="23" spans="2:14" x14ac:dyDescent="0.3">
      <c r="B23" s="167"/>
      <c r="C23" s="39"/>
      <c r="D23" s="40"/>
      <c r="E23" s="41"/>
      <c r="F23" s="168"/>
      <c r="G23" s="168"/>
      <c r="H23" s="169"/>
      <c r="I23" s="169"/>
      <c r="J23" s="105">
        <f t="shared" si="0"/>
        <v>0</v>
      </c>
      <c r="K23" s="105">
        <f t="shared" si="1"/>
        <v>0</v>
      </c>
      <c r="L23" s="105">
        <f t="shared" si="2"/>
        <v>0</v>
      </c>
      <c r="M23" s="170"/>
      <c r="N23" s="41"/>
    </row>
    <row r="24" spans="2:14" x14ac:dyDescent="0.3">
      <c r="B24" s="167"/>
      <c r="C24" s="39"/>
      <c r="D24" s="40"/>
      <c r="E24" s="41"/>
      <c r="F24" s="168"/>
      <c r="G24" s="168"/>
      <c r="H24" s="169"/>
      <c r="I24" s="169"/>
      <c r="J24" s="105">
        <f t="shared" si="0"/>
        <v>0</v>
      </c>
      <c r="K24" s="105">
        <f t="shared" si="1"/>
        <v>0</v>
      </c>
      <c r="L24" s="105">
        <f t="shared" si="2"/>
        <v>0</v>
      </c>
      <c r="M24" s="170"/>
      <c r="N24" s="41"/>
    </row>
    <row r="25" spans="2:14" x14ac:dyDescent="0.3">
      <c r="B25" s="167"/>
      <c r="C25" s="39"/>
      <c r="D25" s="40"/>
      <c r="E25" s="41"/>
      <c r="F25" s="168"/>
      <c r="G25" s="168"/>
      <c r="H25" s="169"/>
      <c r="I25" s="169"/>
      <c r="J25" s="105">
        <f t="shared" si="0"/>
        <v>0</v>
      </c>
      <c r="K25" s="105">
        <f t="shared" si="1"/>
        <v>0</v>
      </c>
      <c r="L25" s="105">
        <f t="shared" si="2"/>
        <v>0</v>
      </c>
      <c r="M25" s="170"/>
      <c r="N25" s="41"/>
    </row>
    <row r="26" spans="2:14" x14ac:dyDescent="0.3">
      <c r="B26" s="167"/>
      <c r="C26" s="39"/>
      <c r="D26" s="40"/>
      <c r="E26" s="41"/>
      <c r="F26" s="168"/>
      <c r="G26" s="168"/>
      <c r="H26" s="169"/>
      <c r="I26" s="169"/>
      <c r="J26" s="105">
        <f t="shared" si="0"/>
        <v>0</v>
      </c>
      <c r="K26" s="105">
        <f t="shared" si="1"/>
        <v>0</v>
      </c>
      <c r="L26" s="105">
        <f t="shared" si="2"/>
        <v>0</v>
      </c>
      <c r="M26" s="170"/>
      <c r="N26" s="41"/>
    </row>
    <row r="27" spans="2:14" x14ac:dyDescent="0.3">
      <c r="B27" s="167"/>
      <c r="C27" s="39"/>
      <c r="D27" s="40"/>
      <c r="E27" s="41"/>
      <c r="F27" s="168"/>
      <c r="G27" s="168"/>
      <c r="H27" s="169"/>
      <c r="I27" s="169"/>
      <c r="J27" s="105">
        <f t="shared" si="0"/>
        <v>0</v>
      </c>
      <c r="K27" s="105">
        <f t="shared" si="1"/>
        <v>0</v>
      </c>
      <c r="L27" s="105">
        <f t="shared" si="2"/>
        <v>0</v>
      </c>
      <c r="M27" s="170"/>
      <c r="N27" s="41"/>
    </row>
    <row r="28" spans="2:14" x14ac:dyDescent="0.3">
      <c r="B28" s="167"/>
      <c r="C28" s="39"/>
      <c r="D28" s="40"/>
      <c r="E28" s="41"/>
      <c r="F28" s="168"/>
      <c r="G28" s="168"/>
      <c r="H28" s="169"/>
      <c r="I28" s="169"/>
      <c r="J28" s="105">
        <f t="shared" si="0"/>
        <v>0</v>
      </c>
      <c r="K28" s="105">
        <f t="shared" si="1"/>
        <v>0</v>
      </c>
      <c r="L28" s="105">
        <f t="shared" si="2"/>
        <v>0</v>
      </c>
      <c r="M28" s="170"/>
      <c r="N28" s="41"/>
    </row>
    <row r="29" spans="2:14" x14ac:dyDescent="0.3">
      <c r="B29" s="167"/>
      <c r="C29" s="39"/>
      <c r="D29" s="40"/>
      <c r="E29" s="41"/>
      <c r="F29" s="168"/>
      <c r="G29" s="168"/>
      <c r="H29" s="169"/>
      <c r="I29" s="169"/>
      <c r="J29" s="105"/>
      <c r="K29" s="105"/>
      <c r="L29" s="105"/>
      <c r="M29" s="170"/>
      <c r="N29" s="41"/>
    </row>
    <row r="30" spans="2:14" x14ac:dyDescent="0.3">
      <c r="B30" s="167"/>
      <c r="C30" s="39"/>
      <c r="D30" s="40" t="s">
        <v>219</v>
      </c>
      <c r="E30" s="41"/>
      <c r="F30" s="105"/>
      <c r="G30" s="168"/>
      <c r="H30" s="107"/>
      <c r="I30" s="169"/>
      <c r="J30" s="105">
        <f>SUM(J10:J29)</f>
        <v>41610</v>
      </c>
      <c r="K30" s="105">
        <f>SUM(K10:K29)</f>
        <v>61810</v>
      </c>
      <c r="L30" s="105">
        <f>SUM(L10:L29)</f>
        <v>103420</v>
      </c>
      <c r="M30" s="170"/>
      <c r="N30" s="41"/>
    </row>
    <row r="31" spans="2:14" x14ac:dyDescent="0.3">
      <c r="B31" s="167"/>
      <c r="C31" s="39"/>
      <c r="D31" s="40" t="s">
        <v>220</v>
      </c>
      <c r="E31" s="41"/>
      <c r="F31" s="277">
        <v>0</v>
      </c>
      <c r="G31" s="272"/>
      <c r="H31" s="169"/>
      <c r="I31" s="169"/>
      <c r="J31" s="105"/>
      <c r="K31" s="105">
        <f>+K30*F31</f>
        <v>0</v>
      </c>
      <c r="L31" s="105">
        <f>J31+K31</f>
        <v>0</v>
      </c>
      <c r="M31" s="170" t="s">
        <v>355</v>
      </c>
      <c r="N31" s="41"/>
    </row>
    <row r="32" spans="2:14" x14ac:dyDescent="0.3">
      <c r="B32" s="167"/>
      <c r="C32" s="39"/>
      <c r="D32" s="40" t="s">
        <v>219</v>
      </c>
      <c r="E32" s="41"/>
      <c r="F32" s="107"/>
      <c r="G32" s="168"/>
      <c r="H32" s="169"/>
      <c r="I32" s="169"/>
      <c r="J32" s="105"/>
      <c r="K32" s="105"/>
      <c r="L32" s="105">
        <f>+L31+L30</f>
        <v>103420</v>
      </c>
      <c r="M32" s="170"/>
      <c r="N32" s="41"/>
    </row>
    <row r="33" spans="2:14" x14ac:dyDescent="0.3">
      <c r="B33" s="167"/>
      <c r="C33" s="39"/>
      <c r="D33" s="40" t="s">
        <v>222</v>
      </c>
      <c r="E33" s="41"/>
      <c r="F33" s="294">
        <f>+'INSTRUCTIONS and DATA'!J14</f>
        <v>0.2</v>
      </c>
      <c r="G33" s="168"/>
      <c r="H33" s="169"/>
      <c r="I33" s="169"/>
      <c r="J33" s="105"/>
      <c r="K33" s="105"/>
      <c r="L33" s="105">
        <f>+L32*F33</f>
        <v>20684</v>
      </c>
      <c r="M33" s="170"/>
      <c r="N33" s="41"/>
    </row>
    <row r="34" spans="2:14" x14ac:dyDescent="0.3">
      <c r="B34" s="167"/>
      <c r="C34" s="39"/>
      <c r="D34" s="260" t="s">
        <v>217</v>
      </c>
      <c r="E34" s="261"/>
      <c r="F34" s="275"/>
      <c r="G34" s="262"/>
      <c r="H34" s="275"/>
      <c r="I34" s="275"/>
      <c r="J34" s="278"/>
      <c r="K34" s="278"/>
      <c r="L34" s="279">
        <f>+L33+L32</f>
        <v>124104</v>
      </c>
      <c r="M34" s="170"/>
      <c r="N34" s="41"/>
    </row>
    <row r="35" spans="2:14" x14ac:dyDescent="0.3">
      <c r="B35" s="167"/>
      <c r="C35" s="39"/>
      <c r="D35" s="40"/>
      <c r="E35" s="41"/>
      <c r="F35" s="168"/>
      <c r="G35" s="168"/>
      <c r="H35" s="169"/>
      <c r="I35" s="169"/>
      <c r="J35" s="105"/>
      <c r="K35" s="105"/>
      <c r="L35" s="105"/>
      <c r="M35" s="170"/>
      <c r="N35" s="41"/>
    </row>
    <row r="36" spans="2:14" x14ac:dyDescent="0.3">
      <c r="B36" s="167"/>
      <c r="C36" s="39"/>
      <c r="D36" s="40"/>
      <c r="E36" s="41"/>
      <c r="F36" s="168"/>
      <c r="G36" s="168"/>
      <c r="H36" s="169"/>
      <c r="I36" s="169"/>
      <c r="J36" s="105"/>
      <c r="K36" s="105"/>
      <c r="L36" s="105"/>
      <c r="M36" s="170"/>
      <c r="N36" s="41"/>
    </row>
    <row r="37" spans="2:14" x14ac:dyDescent="0.3">
      <c r="B37" s="167"/>
      <c r="C37" s="39"/>
      <c r="D37" s="40"/>
      <c r="E37" s="41"/>
      <c r="F37" s="168"/>
      <c r="G37" s="168"/>
      <c r="H37" s="169"/>
      <c r="I37" s="169"/>
      <c r="J37" s="105"/>
      <c r="K37" s="105"/>
      <c r="L37" s="105"/>
      <c r="M37" s="170"/>
      <c r="N37" s="41"/>
    </row>
    <row r="38" spans="2:14" x14ac:dyDescent="0.3">
      <c r="B38" s="167"/>
      <c r="C38" s="39"/>
      <c r="D38" s="40"/>
      <c r="E38" s="41"/>
      <c r="F38" s="168"/>
      <c r="G38" s="168"/>
      <c r="H38" s="169"/>
      <c r="I38" s="169"/>
      <c r="J38" s="105"/>
      <c r="K38" s="105"/>
      <c r="L38" s="105"/>
      <c r="M38" s="170"/>
      <c r="N38" s="41"/>
    </row>
    <row r="40" spans="2:14" x14ac:dyDescent="0.3">
      <c r="K40" s="64"/>
      <c r="L40" s="273"/>
    </row>
    <row r="42" spans="2:14" x14ac:dyDescent="0.3">
      <c r="B42" s="1" t="s">
        <v>85</v>
      </c>
    </row>
    <row r="44" spans="2:14" x14ac:dyDescent="0.3">
      <c r="B44" s="1" t="s">
        <v>218</v>
      </c>
    </row>
  </sheetData>
  <mergeCells count="7">
    <mergeCell ref="L8:L9"/>
    <mergeCell ref="M8:N9"/>
    <mergeCell ref="C8:E9"/>
    <mergeCell ref="F8:F9"/>
    <mergeCell ref="G8:G9"/>
    <mergeCell ref="H8:I8"/>
    <mergeCell ref="J8:K8"/>
  </mergeCells>
  <pageMargins left="0.75" right="0.45" top="0.78" bottom="0.77" header="0.55000000000000004" footer="0.5"/>
  <pageSetup scale="75" orientation="landscape" r:id="rId1"/>
  <headerFooter alignWithMargins="0">
    <oddHeader>&amp;A</oddHeader>
    <oddFooter>Page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25"/>
  <sheetViews>
    <sheetView zoomScaleNormal="100" workbookViewId="0">
      <selection activeCell="E19" sqref="E19"/>
    </sheetView>
  </sheetViews>
  <sheetFormatPr defaultRowHeight="12.5" x14ac:dyDescent="0.25"/>
  <cols>
    <col min="1" max="1" width="46" customWidth="1"/>
    <col min="2" max="2" width="19" customWidth="1"/>
    <col min="3" max="3" width="19.453125" customWidth="1"/>
    <col min="4" max="4" width="25.7265625" customWidth="1"/>
    <col min="5" max="5" width="17.81640625" customWidth="1"/>
    <col min="8" max="8" width="15.453125" customWidth="1"/>
  </cols>
  <sheetData>
    <row r="2" spans="1:5" x14ac:dyDescent="0.25">
      <c r="A2" s="206" t="s">
        <v>118</v>
      </c>
      <c r="B2" s="206" t="s">
        <v>119</v>
      </c>
      <c r="C2" s="206" t="s">
        <v>120</v>
      </c>
      <c r="D2" s="206" t="s">
        <v>121</v>
      </c>
      <c r="E2" s="206" t="s">
        <v>122</v>
      </c>
    </row>
    <row r="3" spans="1:5" x14ac:dyDescent="0.25">
      <c r="A3">
        <v>15</v>
      </c>
      <c r="B3">
        <v>2</v>
      </c>
      <c r="C3" t="str">
        <f>IF(AND(A3&gt;=A14,A3&lt;=B14),C14,IF(AND(A3&gt;A15,A3&lt;=B15),C15,IF(AND(A3&gt;A16,A3&lt;=B16),C16,IF(AND(A3&gt;A17,A3&lt;=B17),C17,IF(A3&gt;A18,C18,"NO MATCH")))))</f>
        <v>D</v>
      </c>
      <c r="D3" t="str">
        <f>IF(B3&gt;0.5*A3, B21, IF(OR(B3&gt;500,B3&gt;0.25*A3),B22,IF(OR(B3&gt;1250,B3&gt;0.15*A3),B23,IF(OR(B3&gt;1500,B3&gt;0.1*A3),B24,IF(B3&gt;=2000,B25,"NO MATCH")))))</f>
        <v>D</v>
      </c>
      <c r="E3" t="str">
        <f>IF(C3=D3, "YES", "NO")</f>
        <v>YES</v>
      </c>
    </row>
    <row r="13" spans="1:5" x14ac:dyDescent="0.25">
      <c r="A13" s="206" t="s">
        <v>123</v>
      </c>
      <c r="B13" s="206" t="s">
        <v>124</v>
      </c>
      <c r="C13" s="206" t="s">
        <v>125</v>
      </c>
    </row>
    <row r="14" spans="1:5" x14ac:dyDescent="0.25">
      <c r="A14">
        <v>0</v>
      </c>
      <c r="B14">
        <v>1</v>
      </c>
      <c r="C14" t="s">
        <v>104</v>
      </c>
    </row>
    <row r="15" spans="1:5" x14ac:dyDescent="0.25">
      <c r="A15">
        <v>1</v>
      </c>
      <c r="B15">
        <v>5</v>
      </c>
      <c r="C15" t="s">
        <v>105</v>
      </c>
    </row>
    <row r="16" spans="1:5" x14ac:dyDescent="0.25">
      <c r="A16">
        <v>5</v>
      </c>
      <c r="B16">
        <v>10</v>
      </c>
      <c r="C16" t="s">
        <v>106</v>
      </c>
    </row>
    <row r="17" spans="1:3" x14ac:dyDescent="0.25">
      <c r="A17">
        <v>10</v>
      </c>
      <c r="B17">
        <v>20</v>
      </c>
      <c r="C17" t="s">
        <v>107</v>
      </c>
    </row>
    <row r="18" spans="1:3" x14ac:dyDescent="0.25">
      <c r="A18">
        <v>20</v>
      </c>
      <c r="C18" t="s">
        <v>108</v>
      </c>
    </row>
    <row r="20" spans="1:3" x14ac:dyDescent="0.25">
      <c r="A20" s="206" t="s">
        <v>126</v>
      </c>
      <c r="B20" s="206" t="s">
        <v>127</v>
      </c>
    </row>
    <row r="21" spans="1:3" x14ac:dyDescent="0.25">
      <c r="A21" t="s">
        <v>128</v>
      </c>
      <c r="B21" t="s">
        <v>104</v>
      </c>
    </row>
    <row r="22" spans="1:3" x14ac:dyDescent="0.25">
      <c r="A22" t="s">
        <v>129</v>
      </c>
      <c r="B22" t="s">
        <v>105</v>
      </c>
    </row>
    <row r="23" spans="1:3" x14ac:dyDescent="0.25">
      <c r="A23" t="s">
        <v>130</v>
      </c>
      <c r="B23" t="s">
        <v>106</v>
      </c>
    </row>
    <row r="24" spans="1:3" x14ac:dyDescent="0.25">
      <c r="A24" t="s">
        <v>131</v>
      </c>
      <c r="B24" t="s">
        <v>107</v>
      </c>
    </row>
    <row r="25" spans="1:3" x14ac:dyDescent="0.25">
      <c r="A25" t="s">
        <v>132</v>
      </c>
      <c r="B25"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6:Q75"/>
  <sheetViews>
    <sheetView topLeftCell="A19" zoomScale="130" zoomScaleNormal="130" workbookViewId="0">
      <selection activeCell="D43" sqref="D43"/>
    </sheetView>
  </sheetViews>
  <sheetFormatPr defaultRowHeight="12.5" x14ac:dyDescent="0.25"/>
  <cols>
    <col min="3" max="3" width="15.26953125" customWidth="1"/>
    <col min="5" max="5" width="11" bestFit="1" customWidth="1"/>
  </cols>
  <sheetData>
    <row r="6" spans="5:17" x14ac:dyDescent="0.25">
      <c r="E6" s="191" t="s">
        <v>104</v>
      </c>
    </row>
    <row r="7" spans="5:17" x14ac:dyDescent="0.25">
      <c r="E7" s="191" t="s">
        <v>105</v>
      </c>
    </row>
    <row r="8" spans="5:17" x14ac:dyDescent="0.25">
      <c r="E8" s="191" t="s">
        <v>106</v>
      </c>
    </row>
    <row r="9" spans="5:17" x14ac:dyDescent="0.25">
      <c r="E9" s="191" t="s">
        <v>107</v>
      </c>
    </row>
    <row r="10" spans="5:17" x14ac:dyDescent="0.25">
      <c r="E10" s="191" t="s">
        <v>108</v>
      </c>
      <c r="Q10">
        <v>3.5000000000000003E-2</v>
      </c>
    </row>
    <row r="11" spans="5:17" x14ac:dyDescent="0.25">
      <c r="E11" s="191" t="s">
        <v>109</v>
      </c>
    </row>
    <row r="12" spans="5:17" x14ac:dyDescent="0.25">
      <c r="E12" s="191" t="s">
        <v>110</v>
      </c>
    </row>
    <row r="16" spans="5:17" x14ac:dyDescent="0.25">
      <c r="G16" s="192" t="e">
        <f>"subtotal"+E12</f>
        <v>#VALUE!</v>
      </c>
    </row>
    <row r="17" spans="3:17" x14ac:dyDescent="0.25">
      <c r="G17" t="str">
        <f>CONCATENATE(E9," ",E10)</f>
        <v>D E</v>
      </c>
    </row>
    <row r="19" spans="3:17" ht="13.5" thickBot="1" x14ac:dyDescent="0.35">
      <c r="G19" s="32" t="str">
        <f>CONCATENATE("Escalation @",Q10," %/year")</f>
        <v>Escalation @0.035 %/year</v>
      </c>
    </row>
    <row r="22" spans="3:17" x14ac:dyDescent="0.25">
      <c r="C22" s="203"/>
      <c r="D22" s="203"/>
      <c r="E22" s="203"/>
      <c r="F22" s="203"/>
      <c r="G22" s="203"/>
      <c r="H22" s="203"/>
      <c r="I22" s="203"/>
      <c r="J22" s="203"/>
      <c r="K22" s="203"/>
      <c r="L22" s="203"/>
      <c r="M22" s="203"/>
      <c r="N22" s="203"/>
      <c r="O22" s="203"/>
      <c r="P22" s="203"/>
      <c r="Q22" s="203"/>
    </row>
    <row r="26" spans="3:17" ht="13" x14ac:dyDescent="0.3">
      <c r="E26" s="1" t="s">
        <v>115</v>
      </c>
      <c r="F26" s="1"/>
      <c r="G26" s="205" t="s">
        <v>117</v>
      </c>
      <c r="H26" s="205"/>
    </row>
    <row r="27" spans="3:17" ht="13" x14ac:dyDescent="0.3">
      <c r="E27" s="1"/>
      <c r="F27" s="1"/>
    </row>
    <row r="28" spans="3:17" ht="13" x14ac:dyDescent="0.3">
      <c r="C28" s="204">
        <v>1250000</v>
      </c>
      <c r="E28" s="202">
        <f>+C28</f>
        <v>1250000</v>
      </c>
      <c r="F28" s="200" t="s">
        <v>113</v>
      </c>
    </row>
    <row r="29" spans="3:17" ht="13" x14ac:dyDescent="0.3">
      <c r="C29" s="204">
        <v>500000</v>
      </c>
      <c r="E29" s="202">
        <f>+C29</f>
        <v>500000</v>
      </c>
      <c r="F29" s="200" t="s">
        <v>114</v>
      </c>
    </row>
    <row r="30" spans="3:17" ht="13" x14ac:dyDescent="0.3">
      <c r="E30" s="1"/>
      <c r="F30" s="1"/>
    </row>
    <row r="31" spans="3:17" ht="13" x14ac:dyDescent="0.3">
      <c r="E31" s="1"/>
      <c r="F31" s="1"/>
    </row>
    <row r="32" spans="3:17" ht="13" x14ac:dyDescent="0.3">
      <c r="E32" s="1"/>
      <c r="F32" s="1"/>
    </row>
    <row r="33" spans="3:6" ht="13" x14ac:dyDescent="0.3">
      <c r="E33" s="200" t="str">
        <f>IF(C29&gt;(C28*0.5),"YES","NO")</f>
        <v>NO</v>
      </c>
      <c r="F33" s="200" t="s">
        <v>116</v>
      </c>
    </row>
    <row r="34" spans="3:6" ht="13" x14ac:dyDescent="0.3">
      <c r="E34" s="200" t="str">
        <f>IF(C29&gt;(C28*0.5),"YES",IF(C29&gt;(C28*0.25),"YES","NO"))</f>
        <v>YES</v>
      </c>
    </row>
    <row r="45" spans="3:6" x14ac:dyDescent="0.25">
      <c r="E45" t="e">
        <f>OR</f>
        <v>#NAME?</v>
      </c>
    </row>
    <row r="47" spans="3:6" x14ac:dyDescent="0.25">
      <c r="C47" s="204"/>
    </row>
    <row r="48" spans="3:6" x14ac:dyDescent="0.25">
      <c r="C48" s="204"/>
    </row>
    <row r="49" spans="3:3" x14ac:dyDescent="0.25">
      <c r="C49" s="204"/>
    </row>
    <row r="50" spans="3:3" x14ac:dyDescent="0.25">
      <c r="C50" s="204"/>
    </row>
    <row r="51" spans="3:3" x14ac:dyDescent="0.25">
      <c r="C51" s="204">
        <v>1100000000</v>
      </c>
    </row>
    <row r="52" spans="3:3" x14ac:dyDescent="0.25">
      <c r="C52" s="204">
        <f>+C51*0.55</f>
        <v>605000000</v>
      </c>
    </row>
    <row r="53" spans="3:3" x14ac:dyDescent="0.25">
      <c r="C53" s="204">
        <f>+C52/105</f>
        <v>5761904.7619047621</v>
      </c>
    </row>
    <row r="54" spans="3:3" x14ac:dyDescent="0.25">
      <c r="C54" s="204">
        <f>+C53/8</f>
        <v>720238.09523809527</v>
      </c>
    </row>
    <row r="55" spans="3:3" x14ac:dyDescent="0.25">
      <c r="C55" s="204">
        <f>+C54/500</f>
        <v>1440.4761904761906</v>
      </c>
    </row>
    <row r="56" spans="3:3" x14ac:dyDescent="0.25">
      <c r="C56" s="204"/>
    </row>
    <row r="57" spans="3:3" x14ac:dyDescent="0.25">
      <c r="C57" s="204"/>
    </row>
    <row r="58" spans="3:3" x14ac:dyDescent="0.25">
      <c r="C58" s="204"/>
    </row>
    <row r="59" spans="3:3" x14ac:dyDescent="0.25">
      <c r="C59" s="204"/>
    </row>
    <row r="60" spans="3:3" x14ac:dyDescent="0.25">
      <c r="C60" s="204"/>
    </row>
    <row r="61" spans="3:3" x14ac:dyDescent="0.25">
      <c r="C61" s="204"/>
    </row>
    <row r="62" spans="3:3" x14ac:dyDescent="0.25">
      <c r="C62" s="204"/>
    </row>
    <row r="63" spans="3:3" x14ac:dyDescent="0.25">
      <c r="C63" s="204"/>
    </row>
    <row r="64" spans="3:3" x14ac:dyDescent="0.25">
      <c r="C64" s="204"/>
    </row>
    <row r="65" spans="3:3" x14ac:dyDescent="0.25">
      <c r="C65" s="204"/>
    </row>
    <row r="66" spans="3:3" x14ac:dyDescent="0.25">
      <c r="C66" s="204"/>
    </row>
    <row r="67" spans="3:3" x14ac:dyDescent="0.25">
      <c r="C67" s="204"/>
    </row>
    <row r="68" spans="3:3" x14ac:dyDescent="0.25">
      <c r="C68" s="204"/>
    </row>
    <row r="69" spans="3:3" x14ac:dyDescent="0.25">
      <c r="C69" s="204"/>
    </row>
    <row r="70" spans="3:3" x14ac:dyDescent="0.25">
      <c r="C70" s="204"/>
    </row>
    <row r="71" spans="3:3" x14ac:dyDescent="0.25">
      <c r="C71" s="204"/>
    </row>
    <row r="72" spans="3:3" x14ac:dyDescent="0.25">
      <c r="C72" s="204"/>
    </row>
    <row r="73" spans="3:3" x14ac:dyDescent="0.25">
      <c r="C73" s="204"/>
    </row>
    <row r="74" spans="3:3" x14ac:dyDescent="0.25">
      <c r="C74" s="204"/>
    </row>
    <row r="75" spans="3:3" x14ac:dyDescent="0.25">
      <c r="C75" s="20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35"/>
  <sheetViews>
    <sheetView workbookViewId="0">
      <selection activeCell="N17" sqref="N17"/>
    </sheetView>
  </sheetViews>
  <sheetFormatPr defaultColWidth="9.1796875" defaultRowHeight="13" x14ac:dyDescent="0.3"/>
  <cols>
    <col min="1" max="1" width="9.1796875" style="1"/>
    <col min="2" max="2" width="9.453125" style="1" customWidth="1"/>
    <col min="3" max="3" width="3.81640625" style="1" customWidth="1"/>
    <col min="4" max="4" width="13.7265625" style="1" customWidth="1"/>
    <col min="5" max="5" width="10.54296875" style="1" customWidth="1"/>
    <col min="6" max="7" width="10.81640625" style="1" customWidth="1"/>
    <col min="8" max="8" width="13.81640625" style="1" customWidth="1"/>
    <col min="9" max="9" width="14" style="1" customWidth="1"/>
    <col min="10" max="10" width="12.81640625" style="1" customWidth="1"/>
    <col min="11" max="11" width="9.1796875" style="1"/>
    <col min="12" max="12" width="11.7265625" style="1" customWidth="1"/>
    <col min="13" max="16384" width="9.1796875" style="1"/>
  </cols>
  <sheetData>
    <row r="2" spans="2:12" ht="15.5" x14ac:dyDescent="0.35">
      <c r="B2" s="129" t="s">
        <v>65</v>
      </c>
      <c r="C2" s="130"/>
      <c r="D2" s="82"/>
      <c r="E2" s="130"/>
      <c r="F2" s="130"/>
      <c r="G2" s="130"/>
      <c r="H2" s="130"/>
      <c r="I2" s="131" t="s">
        <v>66</v>
      </c>
      <c r="J2" s="82"/>
      <c r="K2" s="129" t="s">
        <v>67</v>
      </c>
      <c r="L2" s="132" t="s">
        <v>89</v>
      </c>
    </row>
    <row r="3" spans="2:12" ht="15.5" x14ac:dyDescent="0.35">
      <c r="B3" s="129" t="s">
        <v>68</v>
      </c>
      <c r="C3" s="130"/>
      <c r="D3" s="133"/>
      <c r="E3" s="389" t="s">
        <v>69</v>
      </c>
      <c r="F3" s="389"/>
      <c r="G3" s="389"/>
      <c r="H3" s="389"/>
      <c r="I3" s="131" t="s">
        <v>70</v>
      </c>
      <c r="J3" s="134"/>
      <c r="K3" s="129" t="s">
        <v>71</v>
      </c>
      <c r="L3" s="134"/>
    </row>
    <row r="4" spans="2:12" ht="15.5" x14ac:dyDescent="0.35">
      <c r="B4" s="129" t="s">
        <v>72</v>
      </c>
      <c r="C4" s="130"/>
      <c r="D4" s="133"/>
      <c r="E4" s="390" t="s">
        <v>80</v>
      </c>
      <c r="F4" s="390"/>
      <c r="G4" s="390"/>
      <c r="H4" s="390"/>
      <c r="I4" s="131" t="s">
        <v>73</v>
      </c>
      <c r="J4" s="135"/>
      <c r="K4" s="129" t="s">
        <v>71</v>
      </c>
      <c r="L4" s="135"/>
    </row>
    <row r="5" spans="2:12" ht="15.5" x14ac:dyDescent="0.35">
      <c r="B5" s="130" t="s">
        <v>1</v>
      </c>
      <c r="C5" s="130"/>
      <c r="D5" s="82"/>
      <c r="E5" s="81"/>
      <c r="F5" s="82"/>
      <c r="G5" s="82"/>
      <c r="H5" s="82"/>
      <c r="I5" s="82"/>
      <c r="J5" s="82"/>
      <c r="K5" s="82"/>
      <c r="L5" s="82"/>
    </row>
    <row r="6" spans="2:12" ht="15.5" x14ac:dyDescent="0.35">
      <c r="B6" s="83"/>
      <c r="C6" s="83"/>
      <c r="D6" s="83" t="s">
        <v>74</v>
      </c>
      <c r="E6" s="136"/>
      <c r="F6" s="137"/>
      <c r="G6" s="137"/>
      <c r="H6" s="138" t="s">
        <v>75</v>
      </c>
      <c r="I6" s="139"/>
      <c r="J6" s="136"/>
      <c r="K6" s="136"/>
      <c r="L6" s="136"/>
    </row>
    <row r="7" spans="2:12" ht="5.15" customHeight="1" thickBot="1" x14ac:dyDescent="0.4">
      <c r="B7" s="140"/>
      <c r="C7" s="83"/>
      <c r="D7" s="83"/>
      <c r="E7" s="141"/>
      <c r="F7" s="83"/>
      <c r="G7" s="83"/>
      <c r="H7" s="83"/>
      <c r="I7" s="83"/>
      <c r="J7" s="83"/>
      <c r="K7" s="83"/>
      <c r="L7" s="83"/>
    </row>
    <row r="8" spans="2:12" ht="16" thickBot="1" x14ac:dyDescent="0.35">
      <c r="B8" s="142" t="s">
        <v>76</v>
      </c>
      <c r="C8" s="391" t="s">
        <v>35</v>
      </c>
      <c r="D8" s="392"/>
      <c r="E8" s="393"/>
      <c r="F8" s="143" t="s">
        <v>36</v>
      </c>
      <c r="G8" s="143" t="s">
        <v>34</v>
      </c>
      <c r="H8" s="143" t="s">
        <v>77</v>
      </c>
      <c r="I8" s="143" t="s">
        <v>78</v>
      </c>
      <c r="J8" s="391" t="s">
        <v>79</v>
      </c>
      <c r="K8" s="392"/>
      <c r="L8" s="394"/>
    </row>
    <row r="9" spans="2:12" ht="5.5" customHeight="1" x14ac:dyDescent="0.35">
      <c r="B9" s="83"/>
      <c r="C9" s="83"/>
      <c r="D9" s="83"/>
      <c r="E9" s="83"/>
      <c r="F9" s="144"/>
      <c r="G9" s="144"/>
      <c r="H9" s="145"/>
      <c r="I9" s="144"/>
      <c r="J9" s="144"/>
      <c r="K9" s="144"/>
      <c r="L9" s="83"/>
    </row>
    <row r="10" spans="2:12" ht="15.5" x14ac:dyDescent="0.35">
      <c r="B10" s="146"/>
      <c r="C10" s="147"/>
      <c r="D10" s="133"/>
      <c r="E10" s="148"/>
      <c r="F10" s="149"/>
      <c r="G10" s="149"/>
      <c r="H10" s="150"/>
      <c r="I10" s="151">
        <f>+F10*H10</f>
        <v>0</v>
      </c>
      <c r="J10" s="152"/>
      <c r="K10" s="153"/>
      <c r="L10" s="148"/>
    </row>
    <row r="11" spans="2:12" ht="15.5" x14ac:dyDescent="0.35">
      <c r="B11" s="146"/>
      <c r="C11" s="147"/>
      <c r="D11" s="133"/>
      <c r="E11" s="148"/>
      <c r="F11" s="149"/>
      <c r="G11" s="149"/>
      <c r="H11" s="150"/>
      <c r="I11" s="151">
        <f t="shared" ref="I11:I35" si="0">+F11*H11</f>
        <v>0</v>
      </c>
      <c r="J11" s="152"/>
      <c r="K11" s="153"/>
      <c r="L11" s="148"/>
    </row>
    <row r="12" spans="2:12" ht="15.5" x14ac:dyDescent="0.35">
      <c r="B12" s="146"/>
      <c r="C12" s="147"/>
      <c r="D12" s="133"/>
      <c r="E12" s="148"/>
      <c r="F12" s="149"/>
      <c r="G12" s="149"/>
      <c r="H12" s="150"/>
      <c r="I12" s="151">
        <f t="shared" si="0"/>
        <v>0</v>
      </c>
      <c r="J12" s="152"/>
      <c r="K12" s="153"/>
      <c r="L12" s="148"/>
    </row>
    <row r="13" spans="2:12" ht="15.5" x14ac:dyDescent="0.35">
      <c r="B13" s="146"/>
      <c r="C13" s="147"/>
      <c r="D13" s="133"/>
      <c r="E13" s="148"/>
      <c r="F13" s="149"/>
      <c r="G13" s="149"/>
      <c r="H13" s="150"/>
      <c r="I13" s="151">
        <f t="shared" si="0"/>
        <v>0</v>
      </c>
      <c r="J13" s="152"/>
      <c r="K13" s="153"/>
      <c r="L13" s="148"/>
    </row>
    <row r="14" spans="2:12" ht="15.5" x14ac:dyDescent="0.35">
      <c r="B14" s="146"/>
      <c r="C14" s="147"/>
      <c r="D14" s="133"/>
      <c r="E14" s="148"/>
      <c r="F14" s="149"/>
      <c r="G14" s="149"/>
      <c r="H14" s="150"/>
      <c r="I14" s="151">
        <f>+F14*H14</f>
        <v>0</v>
      </c>
      <c r="J14" s="152"/>
      <c r="K14" s="153"/>
      <c r="L14" s="148"/>
    </row>
    <row r="15" spans="2:12" ht="15.5" x14ac:dyDescent="0.35">
      <c r="B15" s="146"/>
      <c r="C15" s="147"/>
      <c r="D15" s="133"/>
      <c r="E15" s="148"/>
      <c r="F15" s="149"/>
      <c r="G15" s="149"/>
      <c r="H15" s="150"/>
      <c r="I15" s="151">
        <f>+F15*H15</f>
        <v>0</v>
      </c>
      <c r="J15" s="152"/>
      <c r="K15" s="153"/>
      <c r="L15" s="148"/>
    </row>
    <row r="16" spans="2:12" ht="15.5" x14ac:dyDescent="0.35">
      <c r="B16" s="146"/>
      <c r="C16" s="147"/>
      <c r="D16" s="133"/>
      <c r="E16" s="148"/>
      <c r="F16" s="149"/>
      <c r="G16" s="149"/>
      <c r="H16" s="150"/>
      <c r="I16" s="151">
        <f t="shared" si="0"/>
        <v>0</v>
      </c>
      <c r="J16" s="152"/>
      <c r="K16" s="153"/>
      <c r="L16" s="154"/>
    </row>
    <row r="17" spans="2:12" ht="15.5" x14ac:dyDescent="0.35">
      <c r="B17" s="146"/>
      <c r="C17" s="147"/>
      <c r="D17" s="133"/>
      <c r="E17" s="148"/>
      <c r="F17" s="149"/>
      <c r="G17" s="149"/>
      <c r="H17" s="150"/>
      <c r="I17" s="151">
        <f t="shared" si="0"/>
        <v>0</v>
      </c>
      <c r="J17" s="152"/>
      <c r="K17" s="153"/>
      <c r="L17" s="148"/>
    </row>
    <row r="18" spans="2:12" ht="15.5" x14ac:dyDescent="0.35">
      <c r="B18" s="146"/>
      <c r="C18" s="147"/>
      <c r="D18" s="133"/>
      <c r="E18" s="148"/>
      <c r="F18" s="149"/>
      <c r="G18" s="149"/>
      <c r="H18" s="150"/>
      <c r="I18" s="151">
        <f t="shared" si="0"/>
        <v>0</v>
      </c>
      <c r="J18" s="152"/>
      <c r="K18" s="153"/>
      <c r="L18" s="148"/>
    </row>
    <row r="19" spans="2:12" ht="15.5" x14ac:dyDescent="0.35">
      <c r="B19" s="146"/>
      <c r="C19" s="147"/>
      <c r="D19" s="133"/>
      <c r="E19" s="148"/>
      <c r="F19" s="149"/>
      <c r="G19" s="149"/>
      <c r="H19" s="150"/>
      <c r="I19" s="151">
        <f t="shared" si="0"/>
        <v>0</v>
      </c>
      <c r="J19" s="152"/>
      <c r="K19" s="153"/>
      <c r="L19" s="148"/>
    </row>
    <row r="20" spans="2:12" ht="15.5" x14ac:dyDescent="0.35">
      <c r="B20" s="146"/>
      <c r="C20" s="147"/>
      <c r="D20" s="133"/>
      <c r="E20" s="148"/>
      <c r="F20" s="149"/>
      <c r="G20" s="149"/>
      <c r="H20" s="150"/>
      <c r="I20" s="151">
        <f t="shared" si="0"/>
        <v>0</v>
      </c>
      <c r="J20" s="152"/>
      <c r="K20" s="153"/>
      <c r="L20" s="148"/>
    </row>
    <row r="21" spans="2:12" ht="15.5" x14ac:dyDescent="0.35">
      <c r="B21" s="146"/>
      <c r="C21" s="147"/>
      <c r="D21" s="133"/>
      <c r="E21" s="148"/>
      <c r="F21" s="149"/>
      <c r="G21" s="149"/>
      <c r="H21" s="150"/>
      <c r="I21" s="151">
        <f t="shared" si="0"/>
        <v>0</v>
      </c>
      <c r="J21" s="152"/>
      <c r="K21" s="153"/>
      <c r="L21" s="148"/>
    </row>
    <row r="22" spans="2:12" ht="15.5" x14ac:dyDescent="0.35">
      <c r="B22" s="146"/>
      <c r="C22" s="147"/>
      <c r="D22" s="133"/>
      <c r="E22" s="148"/>
      <c r="F22" s="149"/>
      <c r="G22" s="149"/>
      <c r="H22" s="150"/>
      <c r="I22" s="151">
        <f t="shared" si="0"/>
        <v>0</v>
      </c>
      <c r="J22" s="152"/>
      <c r="K22" s="153"/>
      <c r="L22" s="148"/>
    </row>
    <row r="23" spans="2:12" ht="15.5" x14ac:dyDescent="0.35">
      <c r="B23" s="146"/>
      <c r="C23" s="147"/>
      <c r="D23" s="133"/>
      <c r="E23" s="148"/>
      <c r="F23" s="149"/>
      <c r="G23" s="149"/>
      <c r="H23" s="150"/>
      <c r="I23" s="151">
        <f t="shared" si="0"/>
        <v>0</v>
      </c>
      <c r="J23" s="152"/>
      <c r="K23" s="153"/>
      <c r="L23" s="148"/>
    </row>
    <row r="24" spans="2:12" ht="15.5" x14ac:dyDescent="0.35">
      <c r="B24" s="146"/>
      <c r="C24" s="147"/>
      <c r="D24" s="133"/>
      <c r="E24" s="148"/>
      <c r="F24" s="149"/>
      <c r="G24" s="149"/>
      <c r="H24" s="150"/>
      <c r="I24" s="151">
        <f t="shared" si="0"/>
        <v>0</v>
      </c>
      <c r="J24" s="152"/>
      <c r="K24" s="153"/>
      <c r="L24" s="148"/>
    </row>
    <row r="25" spans="2:12" ht="15.5" x14ac:dyDescent="0.35">
      <c r="B25" s="146"/>
      <c r="C25" s="147"/>
      <c r="D25" s="133"/>
      <c r="E25" s="148"/>
      <c r="F25" s="149"/>
      <c r="G25" s="149"/>
      <c r="H25" s="150"/>
      <c r="I25" s="151">
        <f t="shared" si="0"/>
        <v>0</v>
      </c>
      <c r="J25" s="152"/>
      <c r="K25" s="153"/>
      <c r="L25" s="148"/>
    </row>
    <row r="26" spans="2:12" ht="15.5" x14ac:dyDescent="0.35">
      <c r="B26" s="146"/>
      <c r="C26" s="147"/>
      <c r="D26" s="133"/>
      <c r="E26" s="148"/>
      <c r="F26" s="149"/>
      <c r="G26" s="149"/>
      <c r="H26" s="150"/>
      <c r="I26" s="151">
        <f t="shared" si="0"/>
        <v>0</v>
      </c>
      <c r="J26" s="152"/>
      <c r="K26" s="153"/>
      <c r="L26" s="148"/>
    </row>
    <row r="27" spans="2:12" ht="15.5" x14ac:dyDescent="0.35">
      <c r="B27" s="146"/>
      <c r="C27" s="147"/>
      <c r="D27" s="133"/>
      <c r="E27" s="148"/>
      <c r="F27" s="149"/>
      <c r="G27" s="149"/>
      <c r="H27" s="150"/>
      <c r="I27" s="151">
        <f t="shared" si="0"/>
        <v>0</v>
      </c>
      <c r="J27" s="152"/>
      <c r="K27" s="153"/>
      <c r="L27" s="148"/>
    </row>
    <row r="28" spans="2:12" ht="15.5" x14ac:dyDescent="0.35">
      <c r="B28" s="146"/>
      <c r="C28" s="147"/>
      <c r="D28" s="133"/>
      <c r="E28" s="148"/>
      <c r="F28" s="149"/>
      <c r="G28" s="149"/>
      <c r="H28" s="150"/>
      <c r="I28" s="151">
        <f t="shared" si="0"/>
        <v>0</v>
      </c>
      <c r="J28" s="152"/>
      <c r="K28" s="153"/>
      <c r="L28" s="148"/>
    </row>
    <row r="29" spans="2:12" ht="15.5" x14ac:dyDescent="0.35">
      <c r="B29" s="146"/>
      <c r="C29" s="147"/>
      <c r="D29" s="133"/>
      <c r="E29" s="148"/>
      <c r="F29" s="149"/>
      <c r="G29" s="149"/>
      <c r="H29" s="150"/>
      <c r="I29" s="151">
        <f t="shared" si="0"/>
        <v>0</v>
      </c>
      <c r="J29" s="152"/>
      <c r="K29" s="153"/>
      <c r="L29" s="148"/>
    </row>
    <row r="30" spans="2:12" ht="15.5" x14ac:dyDescent="0.35">
      <c r="B30" s="146"/>
      <c r="C30" s="147"/>
      <c r="D30" s="133"/>
      <c r="E30" s="148"/>
      <c r="F30" s="149"/>
      <c r="G30" s="149"/>
      <c r="H30" s="150"/>
      <c r="I30" s="151">
        <f t="shared" si="0"/>
        <v>0</v>
      </c>
      <c r="J30" s="152"/>
      <c r="K30" s="153"/>
      <c r="L30" s="148"/>
    </row>
    <row r="31" spans="2:12" ht="15.5" x14ac:dyDescent="0.35">
      <c r="B31" s="146"/>
      <c r="C31" s="147"/>
      <c r="D31" s="133"/>
      <c r="E31" s="148"/>
      <c r="F31" s="149"/>
      <c r="G31" s="149"/>
      <c r="H31" s="150"/>
      <c r="I31" s="151">
        <f t="shared" si="0"/>
        <v>0</v>
      </c>
      <c r="J31" s="152"/>
      <c r="K31" s="153"/>
      <c r="L31" s="148"/>
    </row>
    <row r="32" spans="2:12" ht="15.5" x14ac:dyDescent="0.35">
      <c r="B32" s="146"/>
      <c r="C32" s="147"/>
      <c r="D32" s="133"/>
      <c r="E32" s="148"/>
      <c r="F32" s="149"/>
      <c r="G32" s="149"/>
      <c r="H32" s="150"/>
      <c r="I32" s="151">
        <f t="shared" si="0"/>
        <v>0</v>
      </c>
      <c r="J32" s="152"/>
      <c r="K32" s="153"/>
      <c r="L32" s="148"/>
    </row>
    <row r="33" spans="2:12" ht="15.5" x14ac:dyDescent="0.35">
      <c r="B33" s="146"/>
      <c r="C33" s="147"/>
      <c r="D33" s="133"/>
      <c r="E33" s="148"/>
      <c r="F33" s="149"/>
      <c r="G33" s="149"/>
      <c r="H33" s="150"/>
      <c r="I33" s="151">
        <f t="shared" si="0"/>
        <v>0</v>
      </c>
      <c r="J33" s="152"/>
      <c r="K33" s="153"/>
      <c r="L33" s="148"/>
    </row>
    <row r="34" spans="2:12" ht="15.5" x14ac:dyDescent="0.35">
      <c r="B34" s="146"/>
      <c r="C34" s="147"/>
      <c r="D34" s="133"/>
      <c r="E34" s="148"/>
      <c r="F34" s="149"/>
      <c r="G34" s="149"/>
      <c r="H34" s="150"/>
      <c r="I34" s="151">
        <f t="shared" si="0"/>
        <v>0</v>
      </c>
      <c r="J34" s="152"/>
      <c r="K34" s="153"/>
      <c r="L34" s="148"/>
    </row>
    <row r="35" spans="2:12" ht="15.5" x14ac:dyDescent="0.35">
      <c r="B35" s="146"/>
      <c r="C35" s="147"/>
      <c r="D35" s="133"/>
      <c r="E35" s="148"/>
      <c r="F35" s="149"/>
      <c r="G35" s="149"/>
      <c r="H35" s="150"/>
      <c r="I35" s="151">
        <f t="shared" si="0"/>
        <v>0</v>
      </c>
      <c r="J35" s="152"/>
      <c r="K35" s="153"/>
      <c r="L35" s="148"/>
    </row>
  </sheetData>
  <mergeCells count="4">
    <mergeCell ref="E3:H3"/>
    <mergeCell ref="E4:H4"/>
    <mergeCell ref="C8:E8"/>
    <mergeCell ref="J8:L8"/>
  </mergeCells>
  <phoneticPr fontId="0" type="noConversion"/>
  <pageMargins left="0.75" right="0.75" top="0.77" bottom="0.56999999999999995" header="0.5" footer="0.28000000000000003"/>
  <pageSetup orientation="landscape" r:id="rId1"/>
  <headerFooter alignWithMargins="0">
    <oddHeader>&amp;A</oddHeader>
    <oddFooter>Page &amp;P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B1:S57"/>
  <sheetViews>
    <sheetView topLeftCell="A2" zoomScale="110" zoomScaleNormal="110" workbookViewId="0">
      <selection activeCell="C9" sqref="C9"/>
    </sheetView>
  </sheetViews>
  <sheetFormatPr defaultColWidth="9.1796875" defaultRowHeight="13" x14ac:dyDescent="0.3"/>
  <cols>
    <col min="1" max="1" width="3.1796875" style="1" customWidth="1"/>
    <col min="2" max="2" width="5.453125" style="1" customWidth="1"/>
    <col min="3" max="3" width="7.81640625" style="1" customWidth="1"/>
    <col min="4" max="4" width="14.7265625" style="1" customWidth="1"/>
    <col min="5" max="5" width="14.453125" style="1" customWidth="1"/>
    <col min="6" max="6" width="14.26953125" style="1" customWidth="1"/>
    <col min="7" max="7" width="9.81640625" style="1" customWidth="1"/>
    <col min="8" max="8" width="7.7265625" style="1" customWidth="1"/>
    <col min="9" max="9" width="11.453125" style="1" customWidth="1"/>
    <col min="10" max="10" width="17.453125" style="1" customWidth="1"/>
    <col min="11" max="11" width="3.453125" style="1" customWidth="1"/>
    <col min="12" max="13" width="9.1796875" style="1"/>
    <col min="14" max="15" width="17.26953125" style="1" customWidth="1"/>
    <col min="16" max="16" width="12.26953125" style="1" customWidth="1"/>
    <col min="17" max="17" width="17.1796875" style="63" customWidth="1"/>
    <col min="18" max="18" width="13.54296875" style="1" customWidth="1"/>
    <col min="19" max="16384" width="9.1796875" style="1"/>
  </cols>
  <sheetData>
    <row r="1" spans="2:19" ht="16.5" customHeight="1" x14ac:dyDescent="0.3">
      <c r="I1" s="303"/>
      <c r="J1" s="303"/>
      <c r="K1" s="303"/>
      <c r="L1" s="303"/>
      <c r="M1" s="303"/>
      <c r="N1" s="303"/>
      <c r="O1" s="303"/>
      <c r="P1" s="303"/>
      <c r="Q1" s="312"/>
      <c r="R1" s="303"/>
      <c r="S1" s="303"/>
    </row>
    <row r="2" spans="2:19" ht="20.25" customHeight="1" x14ac:dyDescent="0.45">
      <c r="C2"/>
      <c r="H2" s="396" t="s">
        <v>69</v>
      </c>
      <c r="I2" s="397"/>
      <c r="J2" s="397"/>
    </row>
    <row r="3" spans="2:19" ht="18.5" x14ac:dyDescent="0.45">
      <c r="F3" s="211" t="s">
        <v>133</v>
      </c>
      <c r="G3" s="2"/>
      <c r="H3" s="2"/>
      <c r="I3" s="407" t="s">
        <v>91</v>
      </c>
      <c r="J3" s="407"/>
    </row>
    <row r="4" spans="2:19" ht="4.1500000000000004" customHeight="1" x14ac:dyDescent="0.45">
      <c r="F4" s="2"/>
      <c r="G4" s="2"/>
      <c r="H4" s="2"/>
    </row>
    <row r="5" spans="2:19" ht="19.5" customHeight="1" x14ac:dyDescent="0.35">
      <c r="B5" s="366" t="s">
        <v>1</v>
      </c>
      <c r="C5" s="367"/>
      <c r="D5" s="405">
        <f>+'INSTRUCTIONS and DATA'!E8</f>
        <v>0</v>
      </c>
      <c r="E5" s="406"/>
      <c r="F5" s="406"/>
      <c r="G5" s="406"/>
      <c r="H5" s="406"/>
      <c r="I5" s="406"/>
      <c r="J5" s="406"/>
    </row>
    <row r="6" spans="2:19" ht="13.5" customHeight="1" x14ac:dyDescent="0.3">
      <c r="C6" s="164" t="s">
        <v>87</v>
      </c>
      <c r="D6" s="3">
        <f>+'INSTRUCTIONS and DATA'!E17</f>
        <v>0</v>
      </c>
      <c r="E6" s="209" t="s">
        <v>281</v>
      </c>
      <c r="F6" s="5">
        <f>+'INSTRUCTIONS and DATA'!H17</f>
        <v>0</v>
      </c>
      <c r="I6" s="164" t="s">
        <v>51</v>
      </c>
      <c r="J6" s="7" t="str">
        <f>+'INSTRUCTIONS and DATA'!K17</f>
        <v>(specify)</v>
      </c>
    </row>
    <row r="7" spans="2:19" ht="13.5" customHeight="1" x14ac:dyDescent="0.3">
      <c r="C7" s="164" t="s">
        <v>88</v>
      </c>
      <c r="D7" s="3">
        <f>+'INSTRUCTIONS and DATA'!E19</f>
        <v>0</v>
      </c>
      <c r="E7" s="164" t="s">
        <v>53</v>
      </c>
      <c r="F7" s="381" t="str">
        <f>IF('INSTRUCTIONS and DATA'!$J$15="Design-Build","ERROR-STOP",'INSTRUCTIONS and DATA'!$J$15)</f>
        <v>Public Adv</v>
      </c>
      <c r="I7" s="164" t="s">
        <v>391</v>
      </c>
      <c r="J7" s="7" t="str">
        <f>+'INSTRUCTIONS and DATA'!AB13</f>
        <v>08/20 to 06/23, 35 mo</v>
      </c>
    </row>
    <row r="8" spans="2:19" ht="13.5" customHeight="1" x14ac:dyDescent="0.3">
      <c r="C8" s="164" t="s">
        <v>2</v>
      </c>
      <c r="D8" s="3">
        <f>+'INSTRUCTIONS and DATA'!E20</f>
        <v>0</v>
      </c>
      <c r="E8" s="164" t="s">
        <v>3</v>
      </c>
      <c r="F8" s="5">
        <f>+'INSTRUCTIONS and DATA'!H20</f>
        <v>0</v>
      </c>
      <c r="I8" s="164" t="s">
        <v>134</v>
      </c>
      <c r="J8" s="341">
        <f>+'INSTRUCTIONS and DATA'!F11</f>
        <v>43983</v>
      </c>
    </row>
    <row r="9" spans="2:19" ht="13.5" customHeight="1" x14ac:dyDescent="0.35">
      <c r="C9" s="164" t="s">
        <v>394</v>
      </c>
      <c r="D9" s="3">
        <f>+'INSTRUCTIONS and DATA'!E21</f>
        <v>0</v>
      </c>
      <c r="E9" s="164" t="s">
        <v>4</v>
      </c>
      <c r="F9" s="5">
        <f>+'INSTRUCTIONS and DATA'!H21</f>
        <v>0</v>
      </c>
      <c r="I9" s="164" t="s">
        <v>86</v>
      </c>
      <c r="J9" s="7">
        <f>+'INSTRUCTIONS and DATA'!K21</f>
        <v>0</v>
      </c>
    </row>
    <row r="10" spans="2:19" ht="13.5" customHeight="1" x14ac:dyDescent="0.3">
      <c r="C10" s="164" t="s">
        <v>151</v>
      </c>
      <c r="D10" s="368">
        <f>+'INSTRUCTIONS and DATA'!E22</f>
        <v>0</v>
      </c>
      <c r="E10" s="164" t="s">
        <v>5</v>
      </c>
      <c r="F10" s="5">
        <f>+'INSTRUCTIONS and DATA'!H22</f>
        <v>0</v>
      </c>
      <c r="H10" s="6"/>
      <c r="I10" s="164" t="s">
        <v>135</v>
      </c>
      <c r="J10" s="373"/>
    </row>
    <row r="11" spans="2:19" ht="3.75" customHeight="1" thickBot="1" x14ac:dyDescent="0.35"/>
    <row r="12" spans="2:19" x14ac:dyDescent="0.3">
      <c r="B12" s="12"/>
      <c r="C12" s="13"/>
      <c r="D12" s="13"/>
      <c r="E12" s="14"/>
      <c r="F12" s="15" t="s">
        <v>6</v>
      </c>
      <c r="G12" s="16"/>
      <c r="H12" s="17"/>
      <c r="I12" s="18"/>
      <c r="J12" s="19"/>
    </row>
    <row r="13" spans="2:19" x14ac:dyDescent="0.3">
      <c r="B13" s="20" t="s">
        <v>7</v>
      </c>
      <c r="C13" s="11"/>
      <c r="D13" s="11" t="s">
        <v>8</v>
      </c>
      <c r="E13" s="21"/>
      <c r="F13" s="22" t="s">
        <v>9</v>
      </c>
      <c r="G13" s="23"/>
      <c r="H13" s="188"/>
      <c r="I13" s="24" t="s">
        <v>58</v>
      </c>
      <c r="J13" s="25"/>
      <c r="N13" s="164" t="s">
        <v>333</v>
      </c>
      <c r="O13" s="164" t="s">
        <v>334</v>
      </c>
      <c r="P13" s="1" t="s">
        <v>335</v>
      </c>
    </row>
    <row r="14" spans="2:19" x14ac:dyDescent="0.3">
      <c r="B14" s="26">
        <v>1</v>
      </c>
      <c r="C14" s="27" t="s">
        <v>54</v>
      </c>
      <c r="D14" s="28"/>
      <c r="E14" s="29"/>
      <c r="F14" s="263">
        <f>GConditions!I24</f>
        <v>222000</v>
      </c>
      <c r="G14" s="269">
        <f>(+F14/G31)*100</f>
        <v>13.24582338902148</v>
      </c>
      <c r="H14" s="195" t="s">
        <v>111</v>
      </c>
      <c r="I14" s="193"/>
      <c r="J14" s="194"/>
      <c r="N14" s="106"/>
      <c r="O14" s="106"/>
      <c r="P14" s="27"/>
    </row>
    <row r="15" spans="2:19" x14ac:dyDescent="0.3">
      <c r="B15" s="26">
        <f>+B14+1</f>
        <v>2</v>
      </c>
      <c r="C15" s="175" t="s">
        <v>93</v>
      </c>
      <c r="D15" s="28"/>
      <c r="E15" s="29"/>
      <c r="F15" s="263">
        <f>MOT!L34</f>
        <v>261954</v>
      </c>
      <c r="G15" s="402"/>
      <c r="H15" s="403"/>
      <c r="I15" s="403"/>
      <c r="J15" s="404"/>
      <c r="N15" s="106"/>
      <c r="O15" s="106"/>
      <c r="P15" s="27"/>
    </row>
    <row r="16" spans="2:19" x14ac:dyDescent="0.3">
      <c r="B16" s="26">
        <f t="shared" ref="B16:B39" si="0">+B15+1</f>
        <v>3</v>
      </c>
      <c r="C16" s="27" t="s">
        <v>10</v>
      </c>
      <c r="D16" s="28"/>
      <c r="E16" s="29"/>
      <c r="F16" s="263">
        <f>+Civil!L33</f>
        <v>12010.8</v>
      </c>
      <c r="G16" s="402"/>
      <c r="H16" s="403"/>
      <c r="I16" s="403"/>
      <c r="J16" s="404"/>
      <c r="N16" s="106"/>
      <c r="O16" s="106"/>
      <c r="P16" s="27"/>
    </row>
    <row r="17" spans="2:16" x14ac:dyDescent="0.3">
      <c r="B17" s="26">
        <f t="shared" si="0"/>
        <v>4</v>
      </c>
      <c r="C17" s="27" t="s">
        <v>11</v>
      </c>
      <c r="D17" s="28"/>
      <c r="E17" s="29"/>
      <c r="F17" s="263">
        <f>Structural!L34</f>
        <v>4527.6000000000004</v>
      </c>
      <c r="G17" s="402"/>
      <c r="H17" s="403"/>
      <c r="I17" s="403"/>
      <c r="J17" s="404"/>
      <c r="N17" s="106"/>
      <c r="O17" s="106"/>
      <c r="P17" s="27"/>
    </row>
    <row r="18" spans="2:16" x14ac:dyDescent="0.3">
      <c r="B18" s="26">
        <f t="shared" si="0"/>
        <v>5</v>
      </c>
      <c r="C18" s="27" t="s">
        <v>12</v>
      </c>
      <c r="D18" s="28"/>
      <c r="E18" s="29"/>
      <c r="F18" s="263">
        <f>Architectural!L34</f>
        <v>2644.8</v>
      </c>
      <c r="G18" s="402"/>
      <c r="H18" s="403"/>
      <c r="I18" s="403"/>
      <c r="J18" s="404"/>
      <c r="N18" s="106"/>
      <c r="O18" s="106"/>
      <c r="P18" s="27"/>
    </row>
    <row r="19" spans="2:16" x14ac:dyDescent="0.3">
      <c r="B19" s="26">
        <f t="shared" si="0"/>
        <v>6</v>
      </c>
      <c r="C19" s="27" t="s">
        <v>59</v>
      </c>
      <c r="D19" s="28"/>
      <c r="E19" s="29"/>
      <c r="F19" s="263">
        <f>Mechanical!L34</f>
        <v>4590</v>
      </c>
      <c r="G19" s="402"/>
      <c r="H19" s="403"/>
      <c r="I19" s="403"/>
      <c r="J19" s="404"/>
      <c r="N19" s="106"/>
      <c r="O19" s="106"/>
      <c r="P19" s="27"/>
    </row>
    <row r="20" spans="2:16" x14ac:dyDescent="0.3">
      <c r="B20" s="26">
        <f t="shared" si="0"/>
        <v>7</v>
      </c>
      <c r="C20" s="27" t="s">
        <v>56</v>
      </c>
      <c r="D20" s="28"/>
      <c r="E20" s="29"/>
      <c r="F20" s="263">
        <f>Plumbing!L34</f>
        <v>4615.2</v>
      </c>
      <c r="G20" s="402"/>
      <c r="H20" s="403"/>
      <c r="I20" s="403"/>
      <c r="J20" s="404"/>
      <c r="N20" s="106"/>
      <c r="O20" s="106"/>
      <c r="P20" s="27"/>
    </row>
    <row r="21" spans="2:16" x14ac:dyDescent="0.3">
      <c r="B21" s="26">
        <f t="shared" si="0"/>
        <v>8</v>
      </c>
      <c r="C21" s="27" t="s">
        <v>52</v>
      </c>
      <c r="D21" s="28"/>
      <c r="E21" s="29"/>
      <c r="F21" s="263">
        <f>'Fire Protection'!L34</f>
        <v>2456.4</v>
      </c>
      <c r="G21" s="402"/>
      <c r="H21" s="403"/>
      <c r="I21" s="403"/>
      <c r="J21" s="404"/>
      <c r="N21" s="106"/>
      <c r="O21" s="106"/>
      <c r="P21" s="27"/>
    </row>
    <row r="22" spans="2:16" x14ac:dyDescent="0.3">
      <c r="B22" s="26">
        <f t="shared" si="0"/>
        <v>9</v>
      </c>
      <c r="C22" s="27" t="s">
        <v>13</v>
      </c>
      <c r="D22" s="28"/>
      <c r="E22" s="29"/>
      <c r="F22" s="263">
        <f>Electrical!L34</f>
        <v>14193.6</v>
      </c>
      <c r="G22" s="402"/>
      <c r="H22" s="403"/>
      <c r="I22" s="403"/>
      <c r="J22" s="404"/>
      <c r="N22" s="106"/>
      <c r="O22" s="106"/>
      <c r="P22" s="27"/>
    </row>
    <row r="23" spans="2:16" x14ac:dyDescent="0.3">
      <c r="B23" s="26">
        <f t="shared" si="0"/>
        <v>10</v>
      </c>
      <c r="C23" s="27" t="s">
        <v>55</v>
      </c>
      <c r="D23" s="28"/>
      <c r="E23" s="29"/>
      <c r="F23" s="263">
        <f>Electronics!L34</f>
        <v>130966.8</v>
      </c>
      <c r="G23" s="402"/>
      <c r="H23" s="403"/>
      <c r="I23" s="403"/>
      <c r="J23" s="404"/>
      <c r="N23" s="106"/>
      <c r="O23" s="106"/>
      <c r="P23" s="27"/>
    </row>
    <row r="24" spans="2:16" x14ac:dyDescent="0.3">
      <c r="B24" s="26">
        <f t="shared" si="0"/>
        <v>11</v>
      </c>
      <c r="C24" s="27" t="s">
        <v>14</v>
      </c>
      <c r="D24" s="28"/>
      <c r="E24" s="30"/>
      <c r="F24" s="263">
        <f>+Environmental!L33</f>
        <v>277250.85840000003</v>
      </c>
      <c r="G24" s="402"/>
      <c r="H24" s="403"/>
      <c r="I24" s="403"/>
      <c r="J24" s="404"/>
      <c r="N24" s="106"/>
      <c r="O24" s="106"/>
      <c r="P24" s="27"/>
    </row>
    <row r="25" spans="2:16" x14ac:dyDescent="0.3">
      <c r="B25" s="26">
        <f t="shared" si="0"/>
        <v>12</v>
      </c>
      <c r="C25" s="27" t="s">
        <v>57</v>
      </c>
      <c r="D25" s="28"/>
      <c r="E25" s="30"/>
      <c r="F25" s="263">
        <f>Geotechnical!L34</f>
        <v>131521.20000000001</v>
      </c>
      <c r="G25" s="402"/>
      <c r="H25" s="403"/>
      <c r="I25" s="403"/>
      <c r="J25" s="404"/>
      <c r="N25" s="106"/>
      <c r="O25" s="106"/>
      <c r="P25" s="27"/>
    </row>
    <row r="26" spans="2:16" x14ac:dyDescent="0.3">
      <c r="B26" s="26">
        <f t="shared" si="0"/>
        <v>13</v>
      </c>
      <c r="C26" s="1" t="s">
        <v>15</v>
      </c>
      <c r="E26" s="30"/>
      <c r="F26" s="263">
        <f>'Traffic-Perm'!L34</f>
        <v>131798.39999999999</v>
      </c>
      <c r="G26" s="402"/>
      <c r="H26" s="403"/>
      <c r="I26" s="403"/>
      <c r="J26" s="404"/>
      <c r="N26" s="106"/>
      <c r="O26" s="106"/>
      <c r="P26" s="27"/>
    </row>
    <row r="27" spans="2:16" ht="13.5" thickBot="1" x14ac:dyDescent="0.35">
      <c r="B27" s="177">
        <f t="shared" si="0"/>
        <v>14</v>
      </c>
      <c r="C27" s="32" t="str">
        <f>CONCATENATE("  Escalation @ ",('INSTRUCTIONS and DATA'!F16*100)," %/year")</f>
        <v xml:space="preserve">  Escalation @ 3.5 %/year</v>
      </c>
      <c r="D27" s="33"/>
      <c r="E27" s="34"/>
      <c r="F27" s="264">
        <f>SUM(F14:F26)*'INSTRUCTIONS and DATA'!G12</f>
        <v>68948.926729901752</v>
      </c>
      <c r="G27" s="408" t="s">
        <v>393</v>
      </c>
      <c r="H27" s="409"/>
      <c r="I27" s="409"/>
      <c r="J27" s="410"/>
      <c r="N27" s="106"/>
      <c r="O27" s="106"/>
      <c r="P27" s="27"/>
    </row>
    <row r="28" spans="2:16" x14ac:dyDescent="0.3">
      <c r="B28" s="176">
        <f t="shared" si="0"/>
        <v>15</v>
      </c>
      <c r="C28" s="35"/>
      <c r="D28" s="28"/>
      <c r="E28" s="36" t="s">
        <v>16</v>
      </c>
      <c r="F28" s="267">
        <f>SUM(F13:F27)</f>
        <v>1269478.5851299018</v>
      </c>
      <c r="G28" s="55"/>
      <c r="H28" s="37"/>
      <c r="I28" s="38"/>
      <c r="J28" s="38"/>
      <c r="N28" s="106"/>
      <c r="O28" s="106"/>
      <c r="P28" s="27"/>
    </row>
    <row r="29" spans="2:16" x14ac:dyDescent="0.3">
      <c r="B29" s="26">
        <f t="shared" si="0"/>
        <v>16</v>
      </c>
      <c r="C29" s="39" t="s">
        <v>99</v>
      </c>
      <c r="D29" s="40"/>
      <c r="E29" s="295">
        <v>0.1</v>
      </c>
      <c r="F29" s="263">
        <f>+F28*E29</f>
        <v>126947.85851299018</v>
      </c>
      <c r="G29" s="196"/>
      <c r="I29" s="38"/>
      <c r="J29" s="42"/>
      <c r="N29" s="106"/>
      <c r="O29" s="106"/>
      <c r="P29" s="27"/>
    </row>
    <row r="30" spans="2:16" ht="13.5" thickBot="1" x14ac:dyDescent="0.35">
      <c r="B30" s="177">
        <f t="shared" si="0"/>
        <v>17</v>
      </c>
      <c r="C30" s="43" t="s">
        <v>92</v>
      </c>
      <c r="D30" s="44"/>
      <c r="E30" s="268">
        <f>+'INSTRUCTIONS and DATA'!G11</f>
        <v>0.2</v>
      </c>
      <c r="F30" s="264">
        <f>(+F28+F29)*E30</f>
        <v>279285.28872857842</v>
      </c>
      <c r="G30" s="398" t="s">
        <v>278</v>
      </c>
      <c r="H30" s="399"/>
      <c r="I30" s="197" t="s">
        <v>50</v>
      </c>
      <c r="J30" s="42"/>
      <c r="N30" s="106"/>
      <c r="O30" s="106"/>
      <c r="P30" s="27"/>
    </row>
    <row r="31" spans="2:16" ht="13.5" thickBot="1" x14ac:dyDescent="0.35">
      <c r="B31" s="26">
        <f t="shared" si="0"/>
        <v>18</v>
      </c>
      <c r="C31" s="45" t="s">
        <v>172</v>
      </c>
      <c r="D31" s="28"/>
      <c r="E31" s="46" t="s">
        <v>17</v>
      </c>
      <c r="F31" s="213">
        <f>SUM(F28:F30)</f>
        <v>1675711.7323714704</v>
      </c>
      <c r="G31" s="400">
        <f>ROUNDUP(+F31,-3)</f>
        <v>1676000</v>
      </c>
      <c r="H31" s="401"/>
      <c r="I31" s="361">
        <f>(+NetCost+F35)/EE</f>
        <v>0.11997936031299312</v>
      </c>
      <c r="J31" s="47"/>
      <c r="N31" s="106"/>
      <c r="O31" s="106"/>
      <c r="P31" s="27"/>
    </row>
    <row r="32" spans="2:16" x14ac:dyDescent="0.3">
      <c r="B32" s="26">
        <f t="shared" si="0"/>
        <v>19</v>
      </c>
      <c r="C32" s="48" t="s">
        <v>18</v>
      </c>
      <c r="D32" s="28"/>
      <c r="E32" s="189">
        <f>IF(G32=0,0,G32/G31)</f>
        <v>0</v>
      </c>
      <c r="F32" s="49"/>
      <c r="G32" s="415"/>
      <c r="H32" s="416"/>
      <c r="I32" s="50"/>
      <c r="J32" s="47"/>
      <c r="N32" s="106"/>
      <c r="O32" s="106"/>
      <c r="P32" s="27"/>
    </row>
    <row r="33" spans="2:16" ht="13.5" thickBot="1" x14ac:dyDescent="0.35">
      <c r="B33" s="177">
        <f t="shared" si="0"/>
        <v>20</v>
      </c>
      <c r="C33" s="51" t="s">
        <v>19</v>
      </c>
      <c r="D33" s="33"/>
      <c r="E33" s="52"/>
      <c r="F33" s="53"/>
      <c r="G33" s="417">
        <f>G31-G32</f>
        <v>1676000</v>
      </c>
      <c r="H33" s="418"/>
      <c r="I33" s="50"/>
      <c r="J33" s="37"/>
      <c r="N33" s="106"/>
      <c r="O33" s="106"/>
      <c r="P33" s="27"/>
    </row>
    <row r="34" spans="2:16" x14ac:dyDescent="0.3">
      <c r="B34" s="26">
        <f t="shared" si="0"/>
        <v>21</v>
      </c>
      <c r="C34" s="172" t="s">
        <v>20</v>
      </c>
      <c r="D34" s="173"/>
      <c r="E34" s="174"/>
      <c r="F34" s="358">
        <f>IF('INSTRUCTIONS and DATA'!J11="Yes",'Net Cost'!I43,F31*'INSTRUCTIONS and DATA'!J12)</f>
        <v>201085.40788457647</v>
      </c>
      <c r="G34" s="55"/>
      <c r="H34" s="37"/>
      <c r="I34" s="38"/>
      <c r="J34" s="37"/>
      <c r="N34" s="106"/>
      <c r="O34" s="106"/>
      <c r="P34" s="27"/>
    </row>
    <row r="35" spans="2:16" ht="13.5" thickBot="1" x14ac:dyDescent="0.35">
      <c r="B35" s="177">
        <f t="shared" si="0"/>
        <v>22</v>
      </c>
      <c r="C35" s="171" t="s">
        <v>94</v>
      </c>
      <c r="D35" s="72"/>
      <c r="E35" s="97"/>
      <c r="F35" s="359">
        <f>IF('Net Cost'!$Q$10&gt;=1,F34*H35,0)</f>
        <v>0</v>
      </c>
      <c r="G35" s="198" t="s">
        <v>287</v>
      </c>
      <c r="H35" s="330">
        <f>(E29+0.05)</f>
        <v>0.15000000000000002</v>
      </c>
      <c r="I35" s="336" t="str">
        <f>IF('Net Cost'!$Q$10&gt;=1," ","&lt;- Markup Not Req'd / PA Policy")</f>
        <v>&lt;- Markup Not Req'd / PA Policy</v>
      </c>
      <c r="J35" s="37"/>
      <c r="N35" s="106"/>
      <c r="O35" s="106"/>
      <c r="P35" s="27"/>
    </row>
    <row r="36" spans="2:16" ht="13.5" thickBot="1" x14ac:dyDescent="0.35">
      <c r="B36" s="26">
        <f t="shared" si="0"/>
        <v>23</v>
      </c>
      <c r="C36" s="56" t="s">
        <v>101</v>
      </c>
      <c r="D36" s="57"/>
      <c r="E36" s="58"/>
      <c r="F36" s="357">
        <f>SUM(F34:F35)+G31</f>
        <v>1877085.4078845764</v>
      </c>
      <c r="G36" s="38"/>
      <c r="H36" s="59" t="s">
        <v>21</v>
      </c>
      <c r="I36" s="38"/>
      <c r="J36" s="308">
        <f>+G31/'INSTRUCTIONS and DATA'!G16</f>
        <v>167.6</v>
      </c>
      <c r="N36" s="106"/>
      <c r="O36" s="106"/>
      <c r="P36" s="27"/>
    </row>
    <row r="37" spans="2:16" ht="13.5" thickBot="1" x14ac:dyDescent="0.35">
      <c r="B37" s="26">
        <f t="shared" si="0"/>
        <v>24</v>
      </c>
      <c r="C37" s="27" t="s">
        <v>22</v>
      </c>
      <c r="D37" s="28"/>
      <c r="E37" s="190">
        <f>+'INSTRUCTIONS and DATA'!G15</f>
        <v>0.08</v>
      </c>
      <c r="F37" s="360">
        <f>ROUND(+G31*E37,-2)</f>
        <v>134100</v>
      </c>
      <c r="G37" s="419">
        <f>+G31+F34+F37+F35</f>
        <v>2011185.4078845764</v>
      </c>
      <c r="H37" s="420"/>
      <c r="I37" s="38"/>
      <c r="J37" s="307" t="s">
        <v>273</v>
      </c>
      <c r="N37" s="106"/>
      <c r="O37" s="106"/>
      <c r="P37" s="27"/>
    </row>
    <row r="38" spans="2:16" ht="13.5" thickBot="1" x14ac:dyDescent="0.35">
      <c r="B38" s="177">
        <f t="shared" si="0"/>
        <v>25</v>
      </c>
      <c r="C38" s="32" t="s">
        <v>23</v>
      </c>
      <c r="D38" s="33"/>
      <c r="E38" s="34"/>
      <c r="F38" s="214">
        <f>G31*0.01</f>
        <v>16760</v>
      </c>
      <c r="G38" s="38"/>
      <c r="H38" s="60"/>
      <c r="I38" s="38"/>
      <c r="J38" s="309">
        <f>+G31/'INSTRUCTIONS and DATA'!J13</f>
        <v>47962.295390404513</v>
      </c>
      <c r="N38" s="106"/>
      <c r="O38" s="106"/>
      <c r="P38" s="27"/>
    </row>
    <row r="39" spans="2:16" ht="13.5" thickBot="1" x14ac:dyDescent="0.35">
      <c r="B39" s="177">
        <f t="shared" si="0"/>
        <v>26</v>
      </c>
      <c r="C39" s="61" t="s">
        <v>103</v>
      </c>
      <c r="D39" s="54"/>
      <c r="E39" s="62"/>
      <c r="F39" s="215">
        <f>SUM(F36:F38)</f>
        <v>2027945.4078845764</v>
      </c>
      <c r="G39" s="38"/>
      <c r="H39" s="37"/>
      <c r="I39" s="246"/>
      <c r="J39" s="307" t="s">
        <v>272</v>
      </c>
      <c r="N39" s="106"/>
      <c r="O39" s="106"/>
      <c r="P39" s="27"/>
    </row>
    <row r="40" spans="2:16" ht="13.5" customHeight="1" thickBot="1" x14ac:dyDescent="0.35">
      <c r="B40" s="63"/>
      <c r="C40" s="64"/>
      <c r="F40" s="38"/>
      <c r="G40" s="38"/>
      <c r="H40" s="37"/>
      <c r="I40" s="305"/>
      <c r="J40" s="306"/>
    </row>
    <row r="41" spans="2:16" ht="13.5" customHeight="1" thickBot="1" x14ac:dyDescent="0.35">
      <c r="B41" s="63"/>
      <c r="C41" s="64"/>
      <c r="F41" s="38"/>
      <c r="G41" s="38"/>
      <c r="H41" s="421" t="s">
        <v>296</v>
      </c>
      <c r="I41" s="422"/>
      <c r="J41" s="335">
        <f>ROUNDUP(((F24*0.2)*(1+O41)),-2)</f>
        <v>81600</v>
      </c>
      <c r="N41" s="371" t="s">
        <v>377</v>
      </c>
      <c r="O41" s="372">
        <f>+('INSTRUCTIONS and DATA'!G11+'INSTRUCTIONS and DATA'!G12+'INSTRUCTIONS and DATA'!G15)+((E29+G14+0.01)/100)</f>
        <v>0.47099032334129354</v>
      </c>
    </row>
    <row r="42" spans="2:16" x14ac:dyDescent="0.3">
      <c r="B42" s="65" t="s">
        <v>64</v>
      </c>
      <c r="H42" s="66"/>
      <c r="I42" s="38"/>
      <c r="J42" s="38"/>
    </row>
    <row r="43" spans="2:16" ht="11.25" customHeight="1" x14ac:dyDescent="0.3">
      <c r="B43" s="65" t="s">
        <v>268</v>
      </c>
      <c r="H43" s="38"/>
      <c r="I43" s="38"/>
    </row>
    <row r="44" spans="2:16" ht="11.25" customHeight="1" x14ac:dyDescent="0.3">
      <c r="B44" s="65" t="s">
        <v>378</v>
      </c>
      <c r="H44" s="38"/>
      <c r="I44" s="38"/>
    </row>
    <row r="45" spans="2:16" ht="11.25" customHeight="1" thickBot="1" x14ac:dyDescent="0.35">
      <c r="B45" s="65" t="s">
        <v>367</v>
      </c>
      <c r="H45" s="38"/>
      <c r="I45" s="38"/>
    </row>
    <row r="46" spans="2:16" ht="15.75" customHeight="1" x14ac:dyDescent="0.3">
      <c r="B46" s="65"/>
      <c r="H46" s="338" t="str">
        <f>+'Summary Design Build'!J45</f>
        <v>Ver 1.1</v>
      </c>
      <c r="I46" s="67"/>
      <c r="J46" s="19"/>
    </row>
    <row r="47" spans="2:16" ht="11.15" customHeight="1" thickBot="1" x14ac:dyDescent="0.35">
      <c r="B47" s="65" t="s">
        <v>24</v>
      </c>
      <c r="I47" s="68" t="s">
        <v>136</v>
      </c>
      <c r="J47" s="69"/>
    </row>
    <row r="48" spans="2:16" ht="12.75" customHeight="1" x14ac:dyDescent="0.3">
      <c r="B48" s="395"/>
      <c r="C48" s="386"/>
      <c r="D48" s="386"/>
      <c r="E48" s="386"/>
      <c r="F48" s="386"/>
      <c r="G48" s="208"/>
      <c r="H48" s="70" t="s">
        <v>63</v>
      </c>
      <c r="I48" s="18"/>
      <c r="J48" s="19"/>
    </row>
    <row r="49" spans="2:10" ht="30" customHeight="1" x14ac:dyDescent="0.3">
      <c r="B49" s="386"/>
      <c r="C49" s="386"/>
      <c r="D49" s="386"/>
      <c r="E49" s="386"/>
      <c r="F49" s="386"/>
      <c r="G49" s="208"/>
      <c r="H49" s="413"/>
      <c r="I49" s="414"/>
      <c r="J49" s="71"/>
    </row>
    <row r="50" spans="2:10" ht="15" customHeight="1" thickBot="1" x14ac:dyDescent="0.35">
      <c r="C50" s="72"/>
      <c r="D50" s="72"/>
      <c r="E50" s="72"/>
      <c r="F50" s="72"/>
      <c r="G50" s="72"/>
      <c r="H50" s="411" t="s">
        <v>61</v>
      </c>
      <c r="I50" s="412"/>
      <c r="J50" s="69" t="s">
        <v>62</v>
      </c>
    </row>
    <row r="51" spans="2:10" ht="12.75" customHeight="1" x14ac:dyDescent="0.3">
      <c r="B51" s="67"/>
      <c r="C51" s="18"/>
      <c r="D51" s="19"/>
      <c r="E51" s="238"/>
      <c r="F51" s="18"/>
      <c r="G51" s="19"/>
      <c r="J51" s="73"/>
    </row>
    <row r="52" spans="2:10" ht="26.25" customHeight="1" x14ac:dyDescent="0.3">
      <c r="B52" s="370"/>
      <c r="D52" s="73"/>
      <c r="G52" s="73"/>
      <c r="H52" s="370"/>
      <c r="J52" s="342"/>
    </row>
    <row r="53" spans="2:10" ht="13.5" thickBot="1" x14ac:dyDescent="0.35">
      <c r="B53" s="75" t="s">
        <v>265</v>
      </c>
      <c r="C53" s="72"/>
      <c r="D53" s="99"/>
      <c r="E53" s="207" t="s">
        <v>158</v>
      </c>
      <c r="F53" s="207"/>
      <c r="G53" s="80"/>
      <c r="H53" s="207" t="s">
        <v>159</v>
      </c>
      <c r="I53" s="76"/>
      <c r="J53" s="69" t="s">
        <v>60</v>
      </c>
    </row>
    <row r="54" spans="2:10" ht="13.5" thickBot="1" x14ac:dyDescent="0.35">
      <c r="B54" s="77" t="s">
        <v>168</v>
      </c>
      <c r="C54" s="76"/>
      <c r="D54" s="78"/>
      <c r="E54" s="76"/>
      <c r="F54" s="76"/>
      <c r="G54" s="78"/>
      <c r="H54" s="79"/>
      <c r="I54" s="76"/>
      <c r="J54" s="80"/>
    </row>
    <row r="57" spans="2:10" x14ac:dyDescent="0.3">
      <c r="D57" s="1" t="s">
        <v>25</v>
      </c>
    </row>
  </sheetData>
  <mergeCells count="25">
    <mergeCell ref="G25:J25"/>
    <mergeCell ref="G26:J26"/>
    <mergeCell ref="G27:J27"/>
    <mergeCell ref="H50:I50"/>
    <mergeCell ref="H49:I49"/>
    <mergeCell ref="G32:H32"/>
    <mergeCell ref="G33:H33"/>
    <mergeCell ref="G37:H37"/>
    <mergeCell ref="H41:I41"/>
    <mergeCell ref="B48:F49"/>
    <mergeCell ref="H2:J2"/>
    <mergeCell ref="G30:H30"/>
    <mergeCell ref="G31:H31"/>
    <mergeCell ref="G19:J19"/>
    <mergeCell ref="G20:J20"/>
    <mergeCell ref="G21:J21"/>
    <mergeCell ref="G22:J22"/>
    <mergeCell ref="G15:J15"/>
    <mergeCell ref="G16:J16"/>
    <mergeCell ref="G17:J17"/>
    <mergeCell ref="G18:J18"/>
    <mergeCell ref="D5:J5"/>
    <mergeCell ref="I3:J3"/>
    <mergeCell ref="G23:J23"/>
    <mergeCell ref="G24:J24"/>
  </mergeCells>
  <phoneticPr fontId="0" type="noConversion"/>
  <conditionalFormatting sqref="F7">
    <cfRule type="cellIs" dxfId="3" priority="1" operator="equal">
      <formula>"ERROR-STOP"</formula>
    </cfRule>
    <cfRule type="cellIs" dxfId="2" priority="2" operator="equal">
      <formula>"ERROR-STOP"</formula>
    </cfRule>
  </conditionalFormatting>
  <pageMargins left="0.54" right="0.28999999999999998" top="0.44" bottom="0.22" header="0.47" footer="0.22"/>
  <pageSetup scale="93" orientation="portrait" r:id="rId1"/>
  <headerFooter alignWithMargins="0">
    <oddFooter>&amp;L&amp;F</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B1:AD61"/>
  <sheetViews>
    <sheetView zoomScale="110" zoomScaleNormal="110" workbookViewId="0">
      <selection activeCell="E2" sqref="E2"/>
    </sheetView>
  </sheetViews>
  <sheetFormatPr defaultColWidth="9.1796875" defaultRowHeight="13" x14ac:dyDescent="0.3"/>
  <cols>
    <col min="1" max="1" width="3.1796875" style="1" customWidth="1"/>
    <col min="2" max="2" width="5.453125" style="1" customWidth="1"/>
    <col min="3" max="3" width="10.54296875" style="1" customWidth="1"/>
    <col min="4" max="4" width="17.7265625" style="1" customWidth="1"/>
    <col min="5" max="5" width="13.81640625" style="1" customWidth="1"/>
    <col min="6" max="6" width="14.26953125" style="1" customWidth="1"/>
    <col min="7" max="7" width="9.81640625" style="1" customWidth="1"/>
    <col min="8" max="8" width="7.7265625" style="1" customWidth="1"/>
    <col min="9" max="9" width="11.453125" style="1" customWidth="1"/>
    <col min="10" max="10" width="17.1796875" style="1" customWidth="1"/>
    <col min="11" max="11" width="3.453125" style="1" customWidth="1"/>
    <col min="12" max="13" width="9.1796875" style="1"/>
    <col min="14" max="14" width="9.1796875" style="1" customWidth="1"/>
    <col min="15" max="16" width="17.26953125" style="1" customWidth="1"/>
    <col min="17" max="18" width="9.7265625" style="1" customWidth="1"/>
    <col min="19" max="19" width="9.1796875" style="1"/>
    <col min="20" max="20" width="13.54296875" style="1" customWidth="1"/>
    <col min="21" max="21" width="2.54296875" style="1" customWidth="1"/>
    <col min="22" max="22" width="12.7265625" style="1" customWidth="1"/>
    <col min="23" max="23" width="12.1796875" style="1" customWidth="1"/>
    <col min="24" max="16384" width="9.1796875" style="1"/>
  </cols>
  <sheetData>
    <row r="1" spans="2:30" ht="16.5" customHeight="1" x14ac:dyDescent="0.3">
      <c r="H1" s="303"/>
      <c r="I1" s="303"/>
      <c r="J1" s="303"/>
      <c r="K1" s="303"/>
      <c r="L1" s="303"/>
      <c r="M1" s="303"/>
      <c r="N1" s="303"/>
      <c r="Z1" s="266"/>
      <c r="AA1" s="266"/>
      <c r="AB1" s="266"/>
      <c r="AC1" s="266"/>
      <c r="AD1" s="266"/>
    </row>
    <row r="2" spans="2:30" ht="20.25" customHeight="1" x14ac:dyDescent="0.45">
      <c r="H2" s="396" t="s">
        <v>69</v>
      </c>
      <c r="I2" s="428"/>
      <c r="J2" s="428"/>
      <c r="O2" s="1">
        <v>34504.26</v>
      </c>
    </row>
    <row r="3" spans="2:30" ht="18.5" x14ac:dyDescent="0.45">
      <c r="F3" s="211" t="s">
        <v>259</v>
      </c>
      <c r="G3" s="2"/>
      <c r="H3" s="2"/>
      <c r="I3" s="429" t="s">
        <v>91</v>
      </c>
      <c r="J3" s="429"/>
      <c r="O3" s="1">
        <f>35000-O2</f>
        <v>495.73999999999796</v>
      </c>
    </row>
    <row r="4" spans="2:30" ht="4.1500000000000004" customHeight="1" x14ac:dyDescent="0.45">
      <c r="F4" s="2"/>
      <c r="G4" s="2"/>
      <c r="H4" s="2"/>
    </row>
    <row r="5" spans="2:30" ht="19.5" customHeight="1" x14ac:dyDescent="0.35">
      <c r="B5" s="241" t="s">
        <v>1</v>
      </c>
      <c r="C5" s="216"/>
      <c r="D5" s="430">
        <f>+'INSTRUCTIONS and DATA'!E8</f>
        <v>0</v>
      </c>
      <c r="E5" s="431"/>
      <c r="F5" s="431"/>
      <c r="G5" s="431"/>
      <c r="H5" s="431"/>
      <c r="I5" s="431"/>
      <c r="J5" s="431"/>
    </row>
    <row r="6" spans="2:30" ht="13.5" customHeight="1" x14ac:dyDescent="0.3">
      <c r="C6" s="164" t="s">
        <v>150</v>
      </c>
      <c r="D6" s="3">
        <f>+'INSTRUCTIONS and DATA'!E17</f>
        <v>0</v>
      </c>
      <c r="E6" s="209" t="s">
        <v>281</v>
      </c>
      <c r="F6" s="9">
        <f>+'INSTRUCTIONS and DATA'!H17</f>
        <v>0</v>
      </c>
      <c r="I6" s="164" t="s">
        <v>174</v>
      </c>
      <c r="J6" s="10" t="str">
        <f>+'INSTRUCTIONS and DATA'!K17</f>
        <v>(specify)</v>
      </c>
    </row>
    <row r="7" spans="2:30" ht="13.5" customHeight="1" x14ac:dyDescent="0.3">
      <c r="C7" s="164" t="s">
        <v>160</v>
      </c>
      <c r="D7" s="3">
        <f>+'INSTRUCTIONS and DATA'!E18</f>
        <v>0</v>
      </c>
      <c r="E7" s="425" t="s">
        <v>161</v>
      </c>
      <c r="F7" s="228"/>
      <c r="I7" s="164"/>
      <c r="J7" s="432" t="s">
        <v>388</v>
      </c>
      <c r="N7" s="339"/>
    </row>
    <row r="8" spans="2:30" ht="13.5" customHeight="1" x14ac:dyDescent="0.35">
      <c r="C8" s="164" t="s">
        <v>88</v>
      </c>
      <c r="D8" s="3">
        <f>+'INSTRUCTIONS and DATA'!E19</f>
        <v>0</v>
      </c>
      <c r="E8" s="425"/>
      <c r="F8" s="229" t="str">
        <f>IF('INSTRUCTIONS and DATA'!$J$15="Design-Build","Design-Build","ERROR-STOP")</f>
        <v>ERROR-STOP</v>
      </c>
      <c r="I8" s="164" t="s">
        <v>162</v>
      </c>
      <c r="J8" s="433"/>
      <c r="N8" s="339"/>
    </row>
    <row r="9" spans="2:30" ht="13.5" customHeight="1" x14ac:dyDescent="0.3">
      <c r="C9" s="164" t="s">
        <v>2</v>
      </c>
      <c r="D9" s="3">
        <f>+'INSTRUCTIONS and DATA'!E20</f>
        <v>0</v>
      </c>
      <c r="E9" s="164" t="s">
        <v>3</v>
      </c>
      <c r="F9" s="5">
        <f>+'INSTRUCTIONS and DATA'!H20</f>
        <v>0</v>
      </c>
      <c r="I9" s="164" t="s">
        <v>134</v>
      </c>
      <c r="J9" s="341">
        <f>+'INSTRUCTIONS and DATA'!F11</f>
        <v>43983</v>
      </c>
    </row>
    <row r="10" spans="2:30" ht="13.5" customHeight="1" x14ac:dyDescent="0.35">
      <c r="C10" s="164" t="s">
        <v>394</v>
      </c>
      <c r="D10" s="3">
        <f>+'INSTRUCTIONS and DATA'!E21</f>
        <v>0</v>
      </c>
      <c r="E10" s="164" t="s">
        <v>4</v>
      </c>
      <c r="F10" s="5">
        <f>+'INSTRUCTIONS and DATA'!H21</f>
        <v>0</v>
      </c>
      <c r="I10" s="164" t="s">
        <v>322</v>
      </c>
      <c r="J10" s="10">
        <f>+'INSTRUCTIONS and DATA'!K22</f>
        <v>0</v>
      </c>
    </row>
    <row r="11" spans="2:30" ht="13.5" customHeight="1" x14ac:dyDescent="0.3">
      <c r="C11" s="164" t="s">
        <v>151</v>
      </c>
      <c r="D11" s="368">
        <f>+'INSTRUCTIONS and DATA'!E22</f>
        <v>0</v>
      </c>
      <c r="E11" s="164" t="s">
        <v>5</v>
      </c>
      <c r="F11" s="5">
        <f>+'INSTRUCTIONS and DATA'!H22</f>
        <v>0</v>
      </c>
      <c r="H11" s="6"/>
      <c r="I11" s="164" t="s">
        <v>135</v>
      </c>
      <c r="J11" s="373"/>
    </row>
    <row r="12" spans="2:30" ht="6" customHeight="1" thickBot="1" x14ac:dyDescent="0.35"/>
    <row r="13" spans="2:30" x14ac:dyDescent="0.3">
      <c r="B13" s="230" t="s">
        <v>7</v>
      </c>
      <c r="C13" s="231"/>
      <c r="D13" s="231" t="s">
        <v>8</v>
      </c>
      <c r="E13" s="232"/>
      <c r="F13" s="233" t="s">
        <v>164</v>
      </c>
      <c r="G13" s="234"/>
      <c r="H13" s="235"/>
      <c r="I13" s="236" t="s">
        <v>58</v>
      </c>
      <c r="J13" s="237"/>
      <c r="O13" s="164" t="s">
        <v>333</v>
      </c>
      <c r="P13" s="164" t="s">
        <v>334</v>
      </c>
      <c r="Q13" s="1" t="s">
        <v>335</v>
      </c>
    </row>
    <row r="14" spans="2:30" x14ac:dyDescent="0.3">
      <c r="B14" s="26" t="s">
        <v>104</v>
      </c>
      <c r="C14" s="27" t="s">
        <v>54</v>
      </c>
      <c r="D14" s="28"/>
      <c r="E14" s="29"/>
      <c r="F14" s="212">
        <f>GConditions!I24</f>
        <v>222000</v>
      </c>
      <c r="G14" s="289">
        <f>(+F14/F29)*100</f>
        <v>15.930164625249422</v>
      </c>
      <c r="H14" s="253" t="s">
        <v>190</v>
      </c>
      <c r="I14" s="28"/>
      <c r="J14" s="345"/>
      <c r="O14" s="106"/>
      <c r="P14" s="106"/>
      <c r="Q14" s="27"/>
    </row>
    <row r="15" spans="2:30" x14ac:dyDescent="0.3">
      <c r="B15" s="26" t="s">
        <v>105</v>
      </c>
      <c r="C15" s="175" t="s">
        <v>186</v>
      </c>
      <c r="D15" s="28"/>
      <c r="E15" s="29"/>
      <c r="F15" s="263">
        <f>MOT!L34</f>
        <v>261954</v>
      </c>
      <c r="G15" s="402"/>
      <c r="H15" s="426"/>
      <c r="I15" s="426"/>
      <c r="J15" s="427"/>
      <c r="O15" s="106"/>
      <c r="P15" s="106"/>
      <c r="Q15" s="27"/>
    </row>
    <row r="16" spans="2:30" x14ac:dyDescent="0.3">
      <c r="B16" s="26" t="s">
        <v>106</v>
      </c>
      <c r="C16" s="27" t="s">
        <v>10</v>
      </c>
      <c r="D16" s="28"/>
      <c r="E16" s="29"/>
      <c r="F16" s="263">
        <f>+Civil!L33</f>
        <v>12010.8</v>
      </c>
      <c r="G16" s="402"/>
      <c r="H16" s="426"/>
      <c r="I16" s="426"/>
      <c r="J16" s="427"/>
      <c r="O16" s="106"/>
      <c r="P16" s="106"/>
      <c r="Q16" s="27"/>
    </row>
    <row r="17" spans="2:17" x14ac:dyDescent="0.3">
      <c r="B17" s="26" t="s">
        <v>107</v>
      </c>
      <c r="C17" s="27" t="s">
        <v>11</v>
      </c>
      <c r="D17" s="28"/>
      <c r="E17" s="29"/>
      <c r="F17" s="263">
        <f>Structural!L34</f>
        <v>4527.6000000000004</v>
      </c>
      <c r="G17" s="402"/>
      <c r="H17" s="426"/>
      <c r="I17" s="426"/>
      <c r="J17" s="427"/>
      <c r="O17" s="106"/>
      <c r="P17" s="106"/>
      <c r="Q17" s="27"/>
    </row>
    <row r="18" spans="2:17" x14ac:dyDescent="0.3">
      <c r="B18" s="26" t="s">
        <v>108</v>
      </c>
      <c r="C18" s="27" t="s">
        <v>12</v>
      </c>
      <c r="D18" s="28"/>
      <c r="E18" s="29"/>
      <c r="F18" s="263">
        <f>Architectural!L34</f>
        <v>2644.8</v>
      </c>
      <c r="G18" s="402"/>
      <c r="H18" s="426"/>
      <c r="I18" s="426"/>
      <c r="J18" s="427"/>
      <c r="O18" s="106"/>
      <c r="P18" s="106"/>
      <c r="Q18" s="27"/>
    </row>
    <row r="19" spans="2:17" x14ac:dyDescent="0.3">
      <c r="B19" s="26" t="s">
        <v>109</v>
      </c>
      <c r="C19" s="27" t="s">
        <v>59</v>
      </c>
      <c r="D19" s="28"/>
      <c r="E19" s="29"/>
      <c r="F19" s="263">
        <f>Mechanical!L34</f>
        <v>4590</v>
      </c>
      <c r="G19" s="402"/>
      <c r="H19" s="426"/>
      <c r="I19" s="426"/>
      <c r="J19" s="427"/>
      <c r="O19" s="106"/>
      <c r="P19" s="106"/>
      <c r="Q19" s="27"/>
    </row>
    <row r="20" spans="2:17" x14ac:dyDescent="0.3">
      <c r="B20" s="26" t="s">
        <v>110</v>
      </c>
      <c r="C20" s="27" t="s">
        <v>56</v>
      </c>
      <c r="D20" s="28"/>
      <c r="E20" s="29"/>
      <c r="F20" s="263">
        <f>Plumbing!L34</f>
        <v>4615.2</v>
      </c>
      <c r="G20" s="402"/>
      <c r="H20" s="426"/>
      <c r="I20" s="426"/>
      <c r="J20" s="427"/>
      <c r="O20" s="106"/>
      <c r="P20" s="106"/>
      <c r="Q20" s="27"/>
    </row>
    <row r="21" spans="2:17" x14ac:dyDescent="0.3">
      <c r="B21" s="26" t="s">
        <v>138</v>
      </c>
      <c r="C21" s="27" t="s">
        <v>52</v>
      </c>
      <c r="D21" s="28"/>
      <c r="E21" s="29"/>
      <c r="F21" s="263">
        <f>'Fire Protection'!L34</f>
        <v>2456.4</v>
      </c>
      <c r="G21" s="402"/>
      <c r="H21" s="426"/>
      <c r="I21" s="426"/>
      <c r="J21" s="427"/>
      <c r="O21" s="106"/>
      <c r="P21" s="106"/>
      <c r="Q21" s="27"/>
    </row>
    <row r="22" spans="2:17" x14ac:dyDescent="0.3">
      <c r="B22" s="221" t="s">
        <v>141</v>
      </c>
      <c r="C22" s="27" t="s">
        <v>13</v>
      </c>
      <c r="D22" s="28"/>
      <c r="E22" s="29"/>
      <c r="F22" s="263">
        <f>Electrical!L34</f>
        <v>14193.6</v>
      </c>
      <c r="G22" s="402"/>
      <c r="H22" s="426"/>
      <c r="I22" s="426"/>
      <c r="J22" s="427"/>
      <c r="O22" s="106"/>
      <c r="P22" s="106"/>
      <c r="Q22" s="27"/>
    </row>
    <row r="23" spans="2:17" x14ac:dyDescent="0.3">
      <c r="B23" s="26" t="s">
        <v>139</v>
      </c>
      <c r="C23" s="27" t="s">
        <v>55</v>
      </c>
      <c r="D23" s="28"/>
      <c r="E23" s="29"/>
      <c r="F23" s="263">
        <f>Electronics!L34</f>
        <v>130966.8</v>
      </c>
      <c r="G23" s="402"/>
      <c r="H23" s="426"/>
      <c r="I23" s="426"/>
      <c r="J23" s="427"/>
      <c r="O23" s="106"/>
      <c r="P23" s="106"/>
      <c r="Q23" s="27"/>
    </row>
    <row r="24" spans="2:17" x14ac:dyDescent="0.3">
      <c r="B24" s="26" t="s">
        <v>140</v>
      </c>
      <c r="C24" s="27" t="s">
        <v>14</v>
      </c>
      <c r="D24" s="28"/>
      <c r="E24" s="30"/>
      <c r="F24" s="263">
        <f>+Environmental!L33</f>
        <v>277250.85840000003</v>
      </c>
      <c r="G24" s="402"/>
      <c r="H24" s="426"/>
      <c r="I24" s="426"/>
      <c r="J24" s="427"/>
      <c r="O24" s="106"/>
      <c r="P24" s="106"/>
      <c r="Q24" s="27"/>
    </row>
    <row r="25" spans="2:17" ht="13.5" customHeight="1" x14ac:dyDescent="0.3">
      <c r="B25" s="26" t="s">
        <v>142</v>
      </c>
      <c r="C25" s="27" t="s">
        <v>57</v>
      </c>
      <c r="D25" s="28"/>
      <c r="E25" s="30"/>
      <c r="F25" s="263">
        <f>Geotechnical!L34</f>
        <v>131521.20000000001</v>
      </c>
      <c r="G25" s="402"/>
      <c r="H25" s="426"/>
      <c r="I25" s="426"/>
      <c r="J25" s="427"/>
      <c r="O25" s="106"/>
      <c r="P25" s="106"/>
      <c r="Q25" s="27"/>
    </row>
    <row r="26" spans="2:17" ht="13.5" customHeight="1" x14ac:dyDescent="0.3">
      <c r="B26" s="26" t="s">
        <v>143</v>
      </c>
      <c r="C26" s="27" t="s">
        <v>15</v>
      </c>
      <c r="D26" s="28"/>
      <c r="E26" s="30"/>
      <c r="F26" s="263">
        <f>'Traffic-Perm'!L34</f>
        <v>131798.39999999999</v>
      </c>
      <c r="G26" s="402"/>
      <c r="H26" s="426"/>
      <c r="I26" s="426"/>
      <c r="J26" s="427"/>
      <c r="O26" s="106"/>
      <c r="P26" s="106"/>
      <c r="Q26" s="27"/>
    </row>
    <row r="27" spans="2:17" ht="13.5" customHeight="1" x14ac:dyDescent="0.3">
      <c r="B27" s="26" t="s">
        <v>144</v>
      </c>
      <c r="C27" s="1" t="s">
        <v>320</v>
      </c>
      <c r="E27" s="30"/>
      <c r="F27" s="263">
        <f>+'Constr Allowances'!L34</f>
        <v>124104</v>
      </c>
      <c r="G27" s="402" t="s">
        <v>321</v>
      </c>
      <c r="H27" s="426"/>
      <c r="I27" s="426"/>
      <c r="J27" s="427"/>
      <c r="O27" s="106"/>
      <c r="P27" s="106"/>
      <c r="Q27" s="27"/>
    </row>
    <row r="28" spans="2:17" ht="13.5" customHeight="1" thickBot="1" x14ac:dyDescent="0.35">
      <c r="B28" s="177" t="s">
        <v>145</v>
      </c>
      <c r="C28" s="32" t="str">
        <f>CONCATENATE("  Escalation @ ",('INSTRUCTIONS and DATA'!F16*100)," %/year")</f>
        <v xml:space="preserve">  Escalation @ 3.5 %/year</v>
      </c>
      <c r="D28" s="33"/>
      <c r="E28" s="288">
        <f>+'INSTRUCTIONS and DATA'!G12</f>
        <v>5.7432089451078694E-2</v>
      </c>
      <c r="F28" s="264">
        <f>SUM(F14:F26)*'INSTRUCTIONS and DATA'!G12</f>
        <v>68948.926729901752</v>
      </c>
      <c r="G28" s="408" t="s">
        <v>393</v>
      </c>
      <c r="H28" s="434"/>
      <c r="I28" s="434"/>
      <c r="J28" s="435"/>
      <c r="O28" s="106"/>
      <c r="P28" s="106"/>
      <c r="Q28" s="27"/>
    </row>
    <row r="29" spans="2:17" ht="17.25" customHeight="1" x14ac:dyDescent="0.3">
      <c r="B29" s="176" t="s">
        <v>307</v>
      </c>
      <c r="C29" s="35"/>
      <c r="D29" s="28"/>
      <c r="E29" s="36" t="s">
        <v>181</v>
      </c>
      <c r="F29" s="265">
        <f>SUM(F14:F28)</f>
        <v>1393582.5851299018</v>
      </c>
      <c r="G29" s="55"/>
      <c r="H29" s="37"/>
      <c r="I29" s="38"/>
      <c r="J29" s="38"/>
      <c r="O29" s="106"/>
      <c r="P29" s="106"/>
      <c r="Q29" s="27"/>
    </row>
    <row r="30" spans="2:17" ht="13.5" customHeight="1" x14ac:dyDescent="0.3">
      <c r="B30" s="26" t="s">
        <v>308</v>
      </c>
      <c r="C30" s="218" t="s">
        <v>165</v>
      </c>
      <c r="D30" s="219"/>
      <c r="E30" s="282">
        <v>0.1</v>
      </c>
      <c r="F30" s="220">
        <f>+F29*E30</f>
        <v>139358.25851299017</v>
      </c>
      <c r="G30" s="55"/>
      <c r="H30" s="37"/>
      <c r="I30" s="38"/>
      <c r="J30" s="37"/>
      <c r="O30" s="106"/>
      <c r="P30" s="106"/>
      <c r="Q30" s="27"/>
    </row>
    <row r="31" spans="2:17" ht="13.5" customHeight="1" thickBot="1" x14ac:dyDescent="0.35">
      <c r="B31" s="26" t="s">
        <v>309</v>
      </c>
      <c r="C31" s="218" t="s">
        <v>166</v>
      </c>
      <c r="D31" s="28"/>
      <c r="E31" s="283">
        <v>2.5000000000000001E-2</v>
      </c>
      <c r="F31" s="217">
        <f>+F29*E31</f>
        <v>34839.564628247543</v>
      </c>
      <c r="G31" s="55"/>
      <c r="H31" s="37"/>
      <c r="I31" s="38"/>
      <c r="J31" s="37"/>
      <c r="O31" s="106"/>
      <c r="P31" s="106"/>
      <c r="Q31" s="27"/>
    </row>
    <row r="32" spans="2:17" ht="13.5" customHeight="1" x14ac:dyDescent="0.3">
      <c r="B32" s="26" t="s">
        <v>310</v>
      </c>
      <c r="C32" s="218" t="s">
        <v>137</v>
      </c>
      <c r="D32" s="28"/>
      <c r="E32" s="283">
        <v>5.0000000000000001E-3</v>
      </c>
      <c r="F32" s="217">
        <f>+F29*E32</f>
        <v>6967.9129256495089</v>
      </c>
      <c r="G32" s="55"/>
      <c r="H32" s="242" t="s">
        <v>177</v>
      </c>
      <c r="I32" s="244" t="s">
        <v>178</v>
      </c>
      <c r="J32" s="243" t="s">
        <v>179</v>
      </c>
      <c r="O32" s="106"/>
      <c r="P32" s="106"/>
      <c r="Q32" s="27"/>
    </row>
    <row r="33" spans="2:17" ht="13.5" customHeight="1" x14ac:dyDescent="0.3">
      <c r="B33" s="26" t="s">
        <v>311</v>
      </c>
      <c r="C33" s="218" t="s">
        <v>167</v>
      </c>
      <c r="D33" s="28"/>
      <c r="E33" s="283">
        <v>6.5000000000000002E-2</v>
      </c>
      <c r="F33" s="217">
        <f>(+F29+F30)*E33</f>
        <v>99641.154836787973</v>
      </c>
      <c r="G33" s="55"/>
      <c r="H33" s="286">
        <f>+J33/F36</f>
        <v>0</v>
      </c>
      <c r="I33" s="50" t="s">
        <v>176</v>
      </c>
      <c r="J33" s="334"/>
      <c r="O33" s="106"/>
      <c r="P33" s="106"/>
      <c r="Q33" s="27"/>
    </row>
    <row r="34" spans="2:17" ht="13.5" customHeight="1" thickBot="1" x14ac:dyDescent="0.35">
      <c r="B34" s="26" t="s">
        <v>312</v>
      </c>
      <c r="C34" s="218" t="s">
        <v>169</v>
      </c>
      <c r="D34" s="28"/>
      <c r="E34" s="283">
        <v>0.05</v>
      </c>
      <c r="F34" s="217">
        <f>SUM(F29:F33)*E34</f>
        <v>83719.473801678861</v>
      </c>
      <c r="G34" s="55"/>
      <c r="H34" s="287">
        <f>+J34/F36</f>
        <v>1</v>
      </c>
      <c r="I34" s="245" t="s">
        <v>175</v>
      </c>
      <c r="J34" s="333">
        <f>+F36-J33</f>
        <v>1926000</v>
      </c>
      <c r="O34" s="106"/>
      <c r="P34" s="106"/>
      <c r="Q34" s="27"/>
    </row>
    <row r="35" spans="2:17" ht="13.5" customHeight="1" thickBot="1" x14ac:dyDescent="0.35">
      <c r="B35" s="31" t="s">
        <v>313</v>
      </c>
      <c r="C35" s="218" t="s">
        <v>170</v>
      </c>
      <c r="D35" s="219"/>
      <c r="E35" s="282">
        <v>0.1</v>
      </c>
      <c r="F35" s="220">
        <f>SUM(F29:F33)*E35</f>
        <v>167438.94760335772</v>
      </c>
      <c r="G35" s="55"/>
      <c r="H35" s="66"/>
      <c r="I35" s="246">
        <f>+F36/'INSTRUCTIONS and DATA'!G16</f>
        <v>192.6</v>
      </c>
      <c r="J35" s="254" t="s">
        <v>292</v>
      </c>
      <c r="O35" s="106"/>
      <c r="P35" s="106"/>
      <c r="Q35" s="27"/>
    </row>
    <row r="36" spans="2:17" ht="17.25" customHeight="1" thickBot="1" x14ac:dyDescent="0.35">
      <c r="B36" s="224" t="s">
        <v>314</v>
      </c>
      <c r="C36" s="239"/>
      <c r="D36" s="54"/>
      <c r="E36" s="62" t="s">
        <v>171</v>
      </c>
      <c r="F36" s="240">
        <f>ROUNDUP(SUM(F29:F35),-3)</f>
        <v>1926000</v>
      </c>
      <c r="G36" s="55"/>
      <c r="H36" s="247"/>
      <c r="I36" s="248">
        <f>ROUND((F36/'INSTRUCTIONS and DATA'!G14),-3)</f>
        <v>161000</v>
      </c>
      <c r="J36" s="255" t="s">
        <v>180</v>
      </c>
      <c r="O36" s="106"/>
      <c r="P36" s="106"/>
      <c r="Q36" s="27"/>
    </row>
    <row r="37" spans="2:17" ht="13.5" customHeight="1" x14ac:dyDescent="0.3">
      <c r="B37" s="176" t="s">
        <v>315</v>
      </c>
      <c r="C37" s="56" t="s">
        <v>148</v>
      </c>
      <c r="D37" s="57" t="s">
        <v>149</v>
      </c>
      <c r="E37" s="281"/>
      <c r="F37" s="332">
        <f>IF('INSTRUCTIONS and DATA'!$J$11="Yes",'Net Cost'!I43,F36*'INSTRUCTIONS and DATA'!J12)</f>
        <v>231120.00000000003</v>
      </c>
      <c r="G37" s="55"/>
      <c r="H37" s="37"/>
      <c r="I37" s="38"/>
      <c r="J37" s="37"/>
      <c r="O37" s="106"/>
      <c r="P37" s="106"/>
      <c r="Q37" s="27"/>
    </row>
    <row r="38" spans="2:17" ht="13.5" customHeight="1" x14ac:dyDescent="0.3">
      <c r="B38" s="26" t="s">
        <v>316</v>
      </c>
      <c r="C38" s="27" t="s">
        <v>148</v>
      </c>
      <c r="D38" s="28" t="s">
        <v>291</v>
      </c>
      <c r="E38" s="284">
        <f>+E32+E34+E35</f>
        <v>0.155</v>
      </c>
      <c r="F38" s="217">
        <f>IF('Net Cost'!$Q$10&gt;=1,F37*E38,0)</f>
        <v>0</v>
      </c>
      <c r="G38" s="55"/>
      <c r="H38" s="336" t="str">
        <f>IF('Net Cost'!$Q$10&gt;=1," ","&lt;- Markup Not Required Based on PA Policy")</f>
        <v>&lt;- Markup Not Required Based on PA Policy</v>
      </c>
      <c r="I38" s="38"/>
      <c r="J38" s="37"/>
      <c r="O38" s="106"/>
      <c r="P38" s="106"/>
      <c r="Q38" s="27"/>
    </row>
    <row r="39" spans="2:17" ht="13.5" customHeight="1" x14ac:dyDescent="0.3">
      <c r="B39" s="26" t="s">
        <v>317</v>
      </c>
      <c r="C39" s="27" t="s">
        <v>148</v>
      </c>
      <c r="D39" s="28" t="s">
        <v>152</v>
      </c>
      <c r="E39" s="284">
        <f>+'INSTRUCTIONS and DATA'!G15</f>
        <v>0.08</v>
      </c>
      <c r="F39" s="217">
        <f>ROUND(+F36*E39,-2)</f>
        <v>154100</v>
      </c>
      <c r="G39" s="55"/>
      <c r="H39" s="37"/>
      <c r="I39" s="38"/>
      <c r="J39" s="37"/>
      <c r="O39" s="106"/>
      <c r="P39" s="106"/>
      <c r="Q39" s="27"/>
    </row>
    <row r="40" spans="2:17" ht="13.5" customHeight="1" x14ac:dyDescent="0.3">
      <c r="B40" s="26" t="s">
        <v>318</v>
      </c>
      <c r="C40" s="27" t="s">
        <v>154</v>
      </c>
      <c r="D40" s="195" t="s">
        <v>153</v>
      </c>
      <c r="E40" s="29"/>
      <c r="F40" s="217">
        <v>0</v>
      </c>
      <c r="G40" s="55"/>
      <c r="H40" s="37"/>
      <c r="I40" s="38"/>
      <c r="J40" s="37"/>
      <c r="O40" s="106"/>
      <c r="P40" s="106"/>
      <c r="Q40" s="27"/>
    </row>
    <row r="41" spans="2:17" ht="17.25" customHeight="1" x14ac:dyDescent="0.3">
      <c r="B41" s="176" t="s">
        <v>146</v>
      </c>
      <c r="C41" s="35"/>
      <c r="D41" s="28"/>
      <c r="E41" s="36" t="s">
        <v>155</v>
      </c>
      <c r="F41" s="226">
        <f>SUM(F36:F40)</f>
        <v>2311220</v>
      </c>
      <c r="G41" s="55"/>
      <c r="H41" s="421" t="s">
        <v>296</v>
      </c>
      <c r="I41" s="436"/>
      <c r="J41" s="335">
        <f>ROUNDUP(((F24*0.2)*(1+P46)),-2)</f>
        <v>83300</v>
      </c>
      <c r="O41" s="106"/>
      <c r="P41" s="106"/>
      <c r="Q41" s="27"/>
    </row>
    <row r="42" spans="2:17" ht="13.5" customHeight="1" thickBot="1" x14ac:dyDescent="0.35">
      <c r="B42" s="31" t="s">
        <v>147</v>
      </c>
      <c r="C42" s="27" t="s">
        <v>173</v>
      </c>
      <c r="D42" s="28"/>
      <c r="E42" s="29"/>
      <c r="F42" s="220">
        <f>+F36*0.01</f>
        <v>19260</v>
      </c>
      <c r="G42" s="38"/>
      <c r="H42" s="37"/>
      <c r="I42" s="38"/>
      <c r="J42" s="38"/>
      <c r="O42" s="106"/>
      <c r="P42" s="106"/>
      <c r="Q42" s="27"/>
    </row>
    <row r="43" spans="2:17" ht="17.25" customHeight="1" thickBot="1" x14ac:dyDescent="0.35">
      <c r="B43" s="224" t="s">
        <v>319</v>
      </c>
      <c r="C43" s="61"/>
      <c r="D43" s="54"/>
      <c r="E43" s="225" t="s">
        <v>182</v>
      </c>
      <c r="F43" s="223">
        <f>ROUNDUP(SUM(F41:F42),-3)</f>
        <v>2331000</v>
      </c>
      <c r="G43" s="38"/>
      <c r="H43" s="37"/>
      <c r="I43" s="38"/>
      <c r="J43" s="38"/>
      <c r="O43" s="106"/>
      <c r="P43" s="106"/>
      <c r="Q43" s="27"/>
    </row>
    <row r="44" spans="2:17" x14ac:dyDescent="0.3">
      <c r="B44" s="63"/>
      <c r="C44" s="64"/>
      <c r="F44" s="38"/>
      <c r="G44" s="38"/>
      <c r="H44" s="37"/>
      <c r="I44" s="38"/>
      <c r="J44" s="38"/>
    </row>
    <row r="45" spans="2:17" ht="11.25" customHeight="1" thickBot="1" x14ac:dyDescent="0.35">
      <c r="B45" s="65" t="s">
        <v>64</v>
      </c>
      <c r="H45" s="66"/>
      <c r="I45" s="38"/>
      <c r="J45" s="300" t="str">
        <f>+'INSTRUCTIONS and DATA'!L3</f>
        <v>Ver 1.1</v>
      </c>
    </row>
    <row r="46" spans="2:17" ht="11.25" customHeight="1" thickBot="1" x14ac:dyDescent="0.35">
      <c r="B46" s="65" t="s">
        <v>336</v>
      </c>
      <c r="H46" s="38"/>
      <c r="I46" s="38"/>
      <c r="J46" s="38"/>
      <c r="O46" s="371" t="s">
        <v>377</v>
      </c>
      <c r="P46" s="372">
        <f>+('INSTRUCTIONS and DATA'!G11+'INSTRUCTIONS and DATA'!G12+'INSTRUCTIONS and DATA'!G15)+((+E39+E35+E34+E33+E32+E31+E30+G14+0.01)/100)</f>
        <v>0.5010837357035729</v>
      </c>
    </row>
    <row r="47" spans="2:17" ht="11.25" customHeight="1" x14ac:dyDescent="0.3">
      <c r="B47" s="65" t="s">
        <v>378</v>
      </c>
      <c r="H47" s="38"/>
      <c r="I47" s="38"/>
      <c r="Q47" s="63"/>
    </row>
    <row r="48" spans="2:17" ht="11.25" customHeight="1" x14ac:dyDescent="0.3">
      <c r="B48" s="65" t="s">
        <v>367</v>
      </c>
      <c r="H48" s="38"/>
      <c r="I48" s="38"/>
      <c r="Q48" s="63"/>
    </row>
    <row r="49" spans="2:10" ht="12.75" customHeight="1" x14ac:dyDescent="0.3">
      <c r="B49" s="347" t="s">
        <v>323</v>
      </c>
      <c r="H49" s="38"/>
      <c r="I49" s="38"/>
      <c r="J49" s="38"/>
    </row>
    <row r="50" spans="2:10" ht="12.75" customHeight="1" x14ac:dyDescent="0.3">
      <c r="B50" s="65"/>
      <c r="H50" s="38"/>
      <c r="I50" s="38"/>
      <c r="J50" s="38"/>
    </row>
    <row r="51" spans="2:10" ht="12.75" customHeight="1" thickBot="1" x14ac:dyDescent="0.35">
      <c r="B51" s="65"/>
      <c r="H51" s="38"/>
      <c r="I51" s="38"/>
      <c r="J51" s="38"/>
    </row>
    <row r="52" spans="2:10" ht="12" customHeight="1" x14ac:dyDescent="0.3">
      <c r="B52" s="70" t="s">
        <v>63</v>
      </c>
      <c r="C52" s="18"/>
      <c r="D52" s="19"/>
      <c r="E52" s="70" t="s">
        <v>63</v>
      </c>
      <c r="F52" s="18"/>
      <c r="G52" s="19"/>
      <c r="H52" s="70"/>
      <c r="I52" s="18"/>
      <c r="J52" s="19"/>
    </row>
    <row r="53" spans="2:10" ht="36" customHeight="1" x14ac:dyDescent="0.3">
      <c r="B53" s="413"/>
      <c r="C53" s="414"/>
      <c r="D53" s="71"/>
      <c r="E53" s="413"/>
      <c r="F53" s="414"/>
      <c r="G53" s="71"/>
      <c r="H53" s="6" t="s">
        <v>189</v>
      </c>
      <c r="I53" s="227"/>
      <c r="J53" s="71"/>
    </row>
    <row r="54" spans="2:10" ht="14.25" customHeight="1" thickBot="1" x14ac:dyDescent="0.35">
      <c r="B54" s="411" t="s">
        <v>61</v>
      </c>
      <c r="C54" s="412"/>
      <c r="D54" s="250" t="s">
        <v>188</v>
      </c>
      <c r="E54" s="423" t="s">
        <v>157</v>
      </c>
      <c r="F54" s="424"/>
      <c r="G54" s="69" t="s">
        <v>62</v>
      </c>
      <c r="H54" s="423" t="s">
        <v>156</v>
      </c>
      <c r="I54" s="424"/>
      <c r="J54" s="69"/>
    </row>
    <row r="55" spans="2:10" ht="28.5" customHeight="1" x14ac:dyDescent="0.3">
      <c r="B55" s="67"/>
      <c r="C55" s="18"/>
      <c r="D55" s="19"/>
      <c r="E55" s="238"/>
      <c r="F55" s="18"/>
      <c r="G55" s="19"/>
      <c r="J55" s="73"/>
    </row>
    <row r="56" spans="2:10" x14ac:dyDescent="0.3">
      <c r="B56" s="74"/>
      <c r="D56" s="73"/>
      <c r="G56" s="73"/>
      <c r="H56" s="6"/>
      <c r="J56" s="73"/>
    </row>
    <row r="57" spans="2:10" ht="13.5" thickBot="1" x14ac:dyDescent="0.35">
      <c r="B57" s="75" t="s">
        <v>264</v>
      </c>
      <c r="C57" s="72"/>
      <c r="D57" s="250" t="s">
        <v>188</v>
      </c>
      <c r="E57" s="207" t="s">
        <v>279</v>
      </c>
      <c r="F57" s="207"/>
      <c r="G57" s="80"/>
      <c r="H57" s="207" t="s">
        <v>159</v>
      </c>
      <c r="I57" s="76"/>
      <c r="J57" s="250" t="s">
        <v>188</v>
      </c>
    </row>
    <row r="58" spans="2:10" ht="13.5" thickBot="1" x14ac:dyDescent="0.35">
      <c r="B58" s="77" t="s">
        <v>183</v>
      </c>
      <c r="C58" s="76"/>
      <c r="D58" s="78"/>
      <c r="E58" s="76"/>
      <c r="F58" s="76"/>
      <c r="G58" s="78"/>
      <c r="H58" s="79"/>
      <c r="I58" s="76"/>
      <c r="J58" s="80"/>
    </row>
    <row r="61" spans="2:10" x14ac:dyDescent="0.3">
      <c r="D61" s="1" t="s">
        <v>25</v>
      </c>
    </row>
  </sheetData>
  <mergeCells count="25">
    <mergeCell ref="G22:J22"/>
    <mergeCell ref="G23:J23"/>
    <mergeCell ref="H54:I54"/>
    <mergeCell ref="G24:J24"/>
    <mergeCell ref="G25:J25"/>
    <mergeCell ref="G26:J26"/>
    <mergeCell ref="G28:J28"/>
    <mergeCell ref="H41:I41"/>
    <mergeCell ref="G27:J27"/>
    <mergeCell ref="H2:J2"/>
    <mergeCell ref="I3:J3"/>
    <mergeCell ref="D5:J5"/>
    <mergeCell ref="G15:J15"/>
    <mergeCell ref="G16:J16"/>
    <mergeCell ref="J7:J8"/>
    <mergeCell ref="G18:J18"/>
    <mergeCell ref="G19:J19"/>
    <mergeCell ref="G20:J20"/>
    <mergeCell ref="G21:J21"/>
    <mergeCell ref="G17:J17"/>
    <mergeCell ref="B53:C53"/>
    <mergeCell ref="B54:C54"/>
    <mergeCell ref="E53:F53"/>
    <mergeCell ref="E54:F54"/>
    <mergeCell ref="E7:E8"/>
  </mergeCells>
  <conditionalFormatting sqref="F8">
    <cfRule type="cellIs" dxfId="1" priority="1" operator="equal">
      <formula>"ERROR-STOP"</formula>
    </cfRule>
    <cfRule type="cellIs" dxfId="0" priority="2" operator="equal">
      <formula>"ERROR-STOP"</formula>
    </cfRule>
  </conditionalFormatting>
  <pageMargins left="0.54" right="0.28999999999999998" top="0.44" bottom="0.22" header="0.47" footer="0.22"/>
  <pageSetup scale="87" orientation="portrait" r:id="rId1"/>
  <headerFooter alignWithMargins="0">
    <oddFooter>&amp;L&amp;F</oddFooter>
  </headerFooter>
  <ignoredErrors>
    <ignoredError sqref="H33:H34 I35" evalError="1"/>
    <ignoredError sqref="F14"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4"/>
  <sheetViews>
    <sheetView zoomScale="90" zoomScaleNormal="90" workbookViewId="0">
      <selection activeCell="D9" sqref="D9"/>
    </sheetView>
  </sheetViews>
  <sheetFormatPr defaultColWidth="9.1796875" defaultRowHeight="13" x14ac:dyDescent="0.3"/>
  <cols>
    <col min="1" max="1" width="4" style="1" customWidth="1"/>
    <col min="2" max="2" width="6" style="1" customWidth="1"/>
    <col min="3" max="3" width="9.26953125" style="1" customWidth="1"/>
    <col min="4" max="4" width="18" style="1" customWidth="1"/>
    <col min="5" max="5" width="14.54296875" style="1" customWidth="1"/>
    <col min="6" max="6" width="12.54296875" style="1" customWidth="1"/>
    <col min="7" max="7" width="9.26953125" style="1" customWidth="1"/>
    <col min="8" max="8" width="14.453125" style="1" customWidth="1"/>
    <col min="9" max="9" width="13.26953125" style="1" customWidth="1"/>
    <col min="10" max="10" width="17.7265625" style="1" customWidth="1"/>
    <col min="11" max="11" width="27.453125" style="1" customWidth="1"/>
    <col min="12" max="12" width="9.1796875" style="1"/>
    <col min="13" max="13" width="11.54296875" style="1" customWidth="1"/>
    <col min="14" max="14" width="13.54296875" style="1" customWidth="1"/>
    <col min="15" max="17" width="11.7265625" style="1" customWidth="1"/>
    <col min="18" max="16384" width="9.1796875" style="1"/>
  </cols>
  <sheetData>
    <row r="1" spans="2:17" ht="21" x14ac:dyDescent="0.5">
      <c r="B1" s="83"/>
      <c r="C1" s="83"/>
      <c r="D1" s="87"/>
      <c r="G1" s="85"/>
      <c r="J1" s="86"/>
      <c r="K1" s="87"/>
      <c r="M1" s="363" t="s">
        <v>330</v>
      </c>
      <c r="N1" s="353"/>
      <c r="O1" s="353"/>
      <c r="P1" s="353"/>
    </row>
    <row r="2" spans="2:17" ht="15.5" x14ac:dyDescent="0.35">
      <c r="B2" s="83"/>
      <c r="C2" s="83"/>
      <c r="D2" s="87"/>
      <c r="G2" s="85"/>
      <c r="J2" s="86"/>
      <c r="K2" s="87"/>
      <c r="M2" s="313" t="s">
        <v>331</v>
      </c>
      <c r="N2" s="314"/>
      <c r="O2" s="314"/>
      <c r="P2" s="315"/>
      <c r="Q2" s="314"/>
    </row>
    <row r="3" spans="2:17" ht="15.5" x14ac:dyDescent="0.35">
      <c r="B3" s="83"/>
      <c r="C3" s="83"/>
      <c r="D3" s="87"/>
      <c r="G3" s="85"/>
      <c r="J3" s="86"/>
      <c r="K3" s="87"/>
      <c r="M3" s="314"/>
      <c r="N3" s="314"/>
      <c r="O3" s="314"/>
      <c r="P3" s="315"/>
      <c r="Q3" s="314"/>
    </row>
    <row r="4" spans="2:17" ht="15.5" x14ac:dyDescent="0.35">
      <c r="B4" s="83"/>
      <c r="C4" s="83"/>
      <c r="D4" s="87"/>
      <c r="G4" s="85"/>
      <c r="J4" s="86"/>
      <c r="K4" s="87"/>
      <c r="M4" s="316" t="s">
        <v>283</v>
      </c>
      <c r="N4" s="317" t="s">
        <v>282</v>
      </c>
      <c r="O4" s="317" t="s">
        <v>285</v>
      </c>
      <c r="P4" s="317" t="s">
        <v>284</v>
      </c>
      <c r="Q4" s="318" t="s">
        <v>286</v>
      </c>
    </row>
    <row r="5" spans="2:17" ht="15.5" x14ac:dyDescent="0.35">
      <c r="B5" s="83"/>
      <c r="C5" s="83"/>
      <c r="D5" s="87"/>
      <c r="G5" s="85"/>
      <c r="J5" s="86"/>
      <c r="K5" s="87"/>
      <c r="M5" s="319">
        <v>0</v>
      </c>
      <c r="N5" s="320">
        <v>1000000</v>
      </c>
      <c r="O5" s="321">
        <f>IF(AND(EE&gt;M5,EE&lt;=N5),1,0)</f>
        <v>0</v>
      </c>
      <c r="P5" s="321">
        <f>IF(NetCost&gt;0.5*EE,1,0)</f>
        <v>0</v>
      </c>
      <c r="Q5" s="322">
        <f>IF(AND(O5=1,P5=1),1,0)</f>
        <v>0</v>
      </c>
    </row>
    <row r="6" spans="2:17" ht="15.5" x14ac:dyDescent="0.35">
      <c r="B6" s="83"/>
      <c r="C6" s="83"/>
      <c r="D6" s="87"/>
      <c r="G6" s="85"/>
      <c r="J6" s="86"/>
      <c r="K6" s="87"/>
      <c r="M6" s="319">
        <v>1000000</v>
      </c>
      <c r="N6" s="320">
        <v>5000000</v>
      </c>
      <c r="O6" s="321">
        <f>IF(AND(EE&gt;M6,EE&lt;=N6),1,0)</f>
        <v>1</v>
      </c>
      <c r="P6" s="321">
        <f>IF(OR(NetCost&gt;=500000, NetCost&gt;=0.25*EE),1,0)</f>
        <v>0</v>
      </c>
      <c r="Q6" s="322">
        <f>IF(AND(O6=1,P6=1),1,0)</f>
        <v>0</v>
      </c>
    </row>
    <row r="7" spans="2:17" ht="15.5" x14ac:dyDescent="0.35">
      <c r="B7" s="83" t="s">
        <v>26</v>
      </c>
      <c r="C7" s="83"/>
      <c r="D7" s="84"/>
      <c r="G7" s="85" t="s">
        <v>0</v>
      </c>
      <c r="J7" s="86" t="s">
        <v>27</v>
      </c>
      <c r="K7" s="84"/>
      <c r="M7" s="319">
        <v>5000000</v>
      </c>
      <c r="N7" s="320">
        <v>10000000</v>
      </c>
      <c r="O7" s="321">
        <f>IF(AND(EE&gt;M7,EE&lt;=N7),1,0)</f>
        <v>0</v>
      </c>
      <c r="P7" s="321">
        <f>IF(OR(NetCost&gt;=1250000, NetCost&gt;=0.15*EE),1,0)</f>
        <v>0</v>
      </c>
      <c r="Q7" s="322">
        <f>IF(AND(O7=1,P7=1),1,0)</f>
        <v>0</v>
      </c>
    </row>
    <row r="8" spans="2:17" ht="18.5" x14ac:dyDescent="0.45">
      <c r="B8" s="83" t="s">
        <v>28</v>
      </c>
      <c r="C8" s="83"/>
      <c r="D8" s="84"/>
      <c r="G8" s="2" t="s">
        <v>266</v>
      </c>
      <c r="J8" s="86" t="s">
        <v>30</v>
      </c>
      <c r="K8" s="84"/>
      <c r="M8" s="319">
        <v>10000000</v>
      </c>
      <c r="N8" s="320">
        <v>20000000</v>
      </c>
      <c r="O8" s="321">
        <f>IF(AND(EE&gt;M8,EE&lt;=N8),1,0)</f>
        <v>0</v>
      </c>
      <c r="P8" s="321">
        <f>IF(OR(NetCost&gt;=1500000, NetCost&gt;=0.1*EE),1,0)</f>
        <v>1</v>
      </c>
      <c r="Q8" s="322">
        <f>IF(AND(O8=1,P8=1),1,0)</f>
        <v>0</v>
      </c>
    </row>
    <row r="9" spans="2:17" ht="15.5" x14ac:dyDescent="0.35">
      <c r="B9" s="83" t="s">
        <v>31</v>
      </c>
      <c r="C9" s="83"/>
      <c r="D9" s="84">
        <f>+'INSTRUCTIONS and DATA'!E20</f>
        <v>0</v>
      </c>
      <c r="J9" s="86" t="s">
        <v>276</v>
      </c>
      <c r="K9" s="84"/>
      <c r="M9" s="323">
        <v>20000000</v>
      </c>
      <c r="N9" s="324">
        <v>999999999999</v>
      </c>
      <c r="O9" s="325">
        <f>IF(AND(EE&gt;M9,EE&lt;=N9),1,0)</f>
        <v>0</v>
      </c>
      <c r="P9" s="325">
        <f>IF(NetCost&gt;2000000,1,0)</f>
        <v>0</v>
      </c>
      <c r="Q9" s="326">
        <f>IF(AND(O9=1,P9=1),1,0)</f>
        <v>0</v>
      </c>
    </row>
    <row r="10" spans="2:17" ht="15.5" x14ac:dyDescent="0.35">
      <c r="D10" s="87"/>
      <c r="J10" s="86" t="s">
        <v>277</v>
      </c>
      <c r="K10" s="84"/>
      <c r="M10" s="320"/>
      <c r="N10" s="320"/>
      <c r="O10" s="327"/>
      <c r="P10" s="328" t="s">
        <v>288</v>
      </c>
      <c r="Q10" s="329">
        <f>SUM(Q5:Q9)</f>
        <v>0</v>
      </c>
    </row>
    <row r="11" spans="2:17" ht="15.5" x14ac:dyDescent="0.35">
      <c r="C11" s="86" t="s">
        <v>1</v>
      </c>
      <c r="D11" s="88">
        <f>+'INSTRUCTIONS and DATA'!E8</f>
        <v>0</v>
      </c>
      <c r="E11" s="88"/>
      <c r="F11" s="84"/>
      <c r="G11" s="84"/>
      <c r="H11" s="84"/>
      <c r="I11" s="84"/>
      <c r="K11" s="83"/>
    </row>
    <row r="12" spans="2:17" ht="13.5" thickBot="1" x14ac:dyDescent="0.35">
      <c r="C12" s="57"/>
      <c r="D12" s="57"/>
      <c r="F12" s="6"/>
    </row>
    <row r="13" spans="2:17" ht="15.5" x14ac:dyDescent="0.35">
      <c r="B13" s="89"/>
      <c r="C13" s="90"/>
      <c r="D13" s="90"/>
      <c r="E13" s="91"/>
      <c r="F13" s="91"/>
      <c r="G13" s="91"/>
      <c r="H13" s="91" t="s">
        <v>34</v>
      </c>
      <c r="I13" s="91"/>
      <c r="J13" s="92"/>
      <c r="K13" s="93"/>
    </row>
    <row r="14" spans="2:17" ht="16" thickBot="1" x14ac:dyDescent="0.4">
      <c r="B14" s="94" t="s">
        <v>7</v>
      </c>
      <c r="C14" s="95"/>
      <c r="D14" s="96" t="s">
        <v>35</v>
      </c>
      <c r="E14" s="97"/>
      <c r="F14" s="98" t="s">
        <v>36</v>
      </c>
      <c r="G14" s="98" t="s">
        <v>34</v>
      </c>
      <c r="H14" s="98" t="s">
        <v>37</v>
      </c>
      <c r="I14" s="98" t="s">
        <v>6</v>
      </c>
      <c r="J14" s="96" t="s">
        <v>38</v>
      </c>
      <c r="K14" s="99"/>
    </row>
    <row r="15" spans="2:17" ht="15.5" x14ac:dyDescent="0.35">
      <c r="B15" s="100"/>
      <c r="C15" s="57"/>
      <c r="D15" s="57"/>
      <c r="E15" s="88"/>
      <c r="F15" s="101"/>
      <c r="G15" s="101"/>
      <c r="H15" s="101"/>
      <c r="I15" s="102"/>
      <c r="J15" s="56"/>
      <c r="K15" s="103"/>
    </row>
    <row r="16" spans="2:17" ht="18" customHeight="1" x14ac:dyDescent="0.35">
      <c r="B16" s="104">
        <v>1</v>
      </c>
      <c r="C16" s="57" t="s">
        <v>332</v>
      </c>
      <c r="D16" s="57"/>
      <c r="E16" s="57"/>
      <c r="F16" s="105">
        <v>1</v>
      </c>
      <c r="G16" s="106" t="s">
        <v>236</v>
      </c>
      <c r="H16" s="107">
        <v>100000</v>
      </c>
      <c r="I16" s="102">
        <f t="shared" ref="I16:I42" si="0">F16*H16</f>
        <v>100000</v>
      </c>
      <c r="J16" s="437"/>
      <c r="K16" s="427"/>
    </row>
    <row r="17" spans="2:11" ht="18" customHeight="1" x14ac:dyDescent="0.35">
      <c r="B17" s="104">
        <f>+B16+1</f>
        <v>2</v>
      </c>
      <c r="C17" s="57" t="s">
        <v>274</v>
      </c>
      <c r="D17" s="57"/>
      <c r="E17" s="57"/>
      <c r="F17" s="105">
        <v>5000</v>
      </c>
      <c r="G17" s="106" t="s">
        <v>236</v>
      </c>
      <c r="H17" s="107">
        <v>2</v>
      </c>
      <c r="I17" s="102">
        <f t="shared" si="0"/>
        <v>10000</v>
      </c>
      <c r="J17" s="437"/>
      <c r="K17" s="427"/>
    </row>
    <row r="18" spans="2:11" ht="18" customHeight="1" x14ac:dyDescent="0.35">
      <c r="B18" s="104">
        <f t="shared" ref="B18:B39" si="1">+B17+1</f>
        <v>3</v>
      </c>
      <c r="C18" s="57" t="s">
        <v>275</v>
      </c>
      <c r="D18" s="57"/>
      <c r="E18" s="57"/>
      <c r="F18" s="105">
        <v>1</v>
      </c>
      <c r="G18" s="106" t="s">
        <v>236</v>
      </c>
      <c r="H18" s="107">
        <v>100</v>
      </c>
      <c r="I18" s="102">
        <f t="shared" si="0"/>
        <v>100</v>
      </c>
      <c r="J18" s="437"/>
      <c r="K18" s="427"/>
    </row>
    <row r="19" spans="2:11" ht="18" customHeight="1" x14ac:dyDescent="0.35">
      <c r="B19" s="104">
        <f t="shared" si="1"/>
        <v>4</v>
      </c>
      <c r="C19" s="57"/>
      <c r="D19" s="57"/>
      <c r="E19" s="57"/>
      <c r="F19" s="105"/>
      <c r="G19" s="106"/>
      <c r="H19" s="107"/>
      <c r="I19" s="102">
        <f t="shared" si="0"/>
        <v>0</v>
      </c>
      <c r="J19" s="437"/>
      <c r="K19" s="427"/>
    </row>
    <row r="20" spans="2:11" ht="18" customHeight="1" x14ac:dyDescent="0.35">
      <c r="B20" s="104">
        <f t="shared" si="1"/>
        <v>5</v>
      </c>
      <c r="C20" s="57"/>
      <c r="D20" s="57"/>
      <c r="E20" s="57"/>
      <c r="F20" s="105"/>
      <c r="G20" s="106"/>
      <c r="H20" s="107"/>
      <c r="I20" s="102">
        <f t="shared" si="0"/>
        <v>0</v>
      </c>
      <c r="J20" s="437"/>
      <c r="K20" s="427"/>
    </row>
    <row r="21" spans="2:11" ht="18" customHeight="1" x14ac:dyDescent="0.35">
      <c r="B21" s="104">
        <f t="shared" si="1"/>
        <v>6</v>
      </c>
      <c r="C21" s="57"/>
      <c r="D21" s="57"/>
      <c r="E21" s="57"/>
      <c r="F21" s="105"/>
      <c r="G21" s="106"/>
      <c r="H21" s="107"/>
      <c r="I21" s="102">
        <f t="shared" ref="I21:I33" si="2">F21*H21</f>
        <v>0</v>
      </c>
      <c r="J21" s="437"/>
      <c r="K21" s="427"/>
    </row>
    <row r="22" spans="2:11" ht="18" customHeight="1" x14ac:dyDescent="0.35">
      <c r="B22" s="104">
        <f t="shared" si="1"/>
        <v>7</v>
      </c>
      <c r="C22" s="57"/>
      <c r="D22" s="57"/>
      <c r="E22" s="57"/>
      <c r="F22" s="105"/>
      <c r="G22" s="106"/>
      <c r="H22" s="107"/>
      <c r="I22" s="102">
        <f t="shared" si="2"/>
        <v>0</v>
      </c>
      <c r="J22" s="437"/>
      <c r="K22" s="427"/>
    </row>
    <row r="23" spans="2:11" ht="18" customHeight="1" x14ac:dyDescent="0.35">
      <c r="B23" s="104">
        <f t="shared" si="1"/>
        <v>8</v>
      </c>
      <c r="C23" s="57"/>
      <c r="D23" s="57"/>
      <c r="E23" s="57"/>
      <c r="F23" s="105"/>
      <c r="G23" s="106"/>
      <c r="H23" s="107"/>
      <c r="I23" s="102">
        <f t="shared" si="2"/>
        <v>0</v>
      </c>
      <c r="J23" s="437"/>
      <c r="K23" s="427"/>
    </row>
    <row r="24" spans="2:11" ht="18" customHeight="1" x14ac:dyDescent="0.35">
      <c r="B24" s="104">
        <f t="shared" si="1"/>
        <v>9</v>
      </c>
      <c r="C24" s="57"/>
      <c r="D24" s="57"/>
      <c r="E24" s="57"/>
      <c r="F24" s="105"/>
      <c r="G24" s="106"/>
      <c r="H24" s="107"/>
      <c r="I24" s="102">
        <f t="shared" si="2"/>
        <v>0</v>
      </c>
      <c r="J24" s="437"/>
      <c r="K24" s="427"/>
    </row>
    <row r="25" spans="2:11" ht="18" customHeight="1" x14ac:dyDescent="0.35">
      <c r="B25" s="104">
        <f t="shared" si="1"/>
        <v>10</v>
      </c>
      <c r="C25" s="57"/>
      <c r="D25" s="57"/>
      <c r="E25" s="57"/>
      <c r="F25" s="105"/>
      <c r="G25" s="106"/>
      <c r="H25" s="107"/>
      <c r="I25" s="102">
        <f t="shared" si="2"/>
        <v>0</v>
      </c>
      <c r="J25" s="437"/>
      <c r="K25" s="427"/>
    </row>
    <row r="26" spans="2:11" ht="18" customHeight="1" x14ac:dyDescent="0.35">
      <c r="B26" s="104">
        <f t="shared" si="1"/>
        <v>11</v>
      </c>
      <c r="C26" s="57"/>
      <c r="D26" s="57"/>
      <c r="E26" s="57"/>
      <c r="F26" s="105"/>
      <c r="G26" s="106"/>
      <c r="H26" s="107"/>
      <c r="I26" s="102">
        <f t="shared" si="2"/>
        <v>0</v>
      </c>
      <c r="J26" s="437"/>
      <c r="K26" s="427"/>
    </row>
    <row r="27" spans="2:11" ht="18" customHeight="1" x14ac:dyDescent="0.35">
      <c r="B27" s="104">
        <f t="shared" si="1"/>
        <v>12</v>
      </c>
      <c r="C27" s="57"/>
      <c r="D27" s="57"/>
      <c r="E27" s="57"/>
      <c r="F27" s="105"/>
      <c r="G27" s="106"/>
      <c r="H27" s="107"/>
      <c r="I27" s="102">
        <f t="shared" si="2"/>
        <v>0</v>
      </c>
      <c r="J27" s="437"/>
      <c r="K27" s="427"/>
    </row>
    <row r="28" spans="2:11" ht="18" customHeight="1" x14ac:dyDescent="0.35">
      <c r="B28" s="104">
        <f t="shared" si="1"/>
        <v>13</v>
      </c>
      <c r="C28" s="57"/>
      <c r="D28" s="57"/>
      <c r="E28" s="57"/>
      <c r="F28" s="105"/>
      <c r="G28" s="106"/>
      <c r="H28" s="107"/>
      <c r="I28" s="102">
        <f t="shared" si="2"/>
        <v>0</v>
      </c>
      <c r="J28" s="437"/>
      <c r="K28" s="427"/>
    </row>
    <row r="29" spans="2:11" ht="18" customHeight="1" x14ac:dyDescent="0.35">
      <c r="B29" s="104">
        <f t="shared" si="1"/>
        <v>14</v>
      </c>
      <c r="C29" s="57"/>
      <c r="D29" s="57"/>
      <c r="E29" s="57"/>
      <c r="F29" s="105"/>
      <c r="G29" s="106"/>
      <c r="H29" s="107"/>
      <c r="I29" s="102">
        <f t="shared" si="2"/>
        <v>0</v>
      </c>
      <c r="J29" s="437"/>
      <c r="K29" s="427"/>
    </row>
    <row r="30" spans="2:11" ht="18" customHeight="1" x14ac:dyDescent="0.35">
      <c r="B30" s="104">
        <f t="shared" si="1"/>
        <v>15</v>
      </c>
      <c r="C30" s="57"/>
      <c r="D30" s="57"/>
      <c r="E30" s="57"/>
      <c r="F30" s="105"/>
      <c r="G30" s="106"/>
      <c r="H30" s="107"/>
      <c r="I30" s="102">
        <f t="shared" si="2"/>
        <v>0</v>
      </c>
      <c r="J30" s="437"/>
      <c r="K30" s="427"/>
    </row>
    <row r="31" spans="2:11" ht="18" customHeight="1" x14ac:dyDescent="0.35">
      <c r="B31" s="104">
        <f t="shared" si="1"/>
        <v>16</v>
      </c>
      <c r="C31" s="57"/>
      <c r="D31" s="57"/>
      <c r="E31" s="57"/>
      <c r="F31" s="105"/>
      <c r="G31" s="106"/>
      <c r="H31" s="107"/>
      <c r="I31" s="102">
        <f t="shared" si="2"/>
        <v>0</v>
      </c>
      <c r="J31" s="437"/>
      <c r="K31" s="427"/>
    </row>
    <row r="32" spans="2:11" ht="18" customHeight="1" x14ac:dyDescent="0.35">
      <c r="B32" s="104">
        <f t="shared" si="1"/>
        <v>17</v>
      </c>
      <c r="C32" s="57"/>
      <c r="D32" s="57"/>
      <c r="E32" s="57"/>
      <c r="F32" s="105"/>
      <c r="G32" s="106"/>
      <c r="H32" s="107"/>
      <c r="I32" s="102">
        <f t="shared" si="2"/>
        <v>0</v>
      </c>
      <c r="J32" s="437"/>
      <c r="K32" s="427"/>
    </row>
    <row r="33" spans="2:11" ht="18" customHeight="1" x14ac:dyDescent="0.35">
      <c r="B33" s="104">
        <f t="shared" si="1"/>
        <v>18</v>
      </c>
      <c r="C33" s="57"/>
      <c r="D33" s="57"/>
      <c r="E33" s="57"/>
      <c r="F33" s="105"/>
      <c r="G33" s="106"/>
      <c r="H33" s="107"/>
      <c r="I33" s="102">
        <f t="shared" si="2"/>
        <v>0</v>
      </c>
      <c r="J33" s="437"/>
      <c r="K33" s="427"/>
    </row>
    <row r="34" spans="2:11" ht="18" customHeight="1" x14ac:dyDescent="0.35">
      <c r="B34" s="104">
        <f t="shared" si="1"/>
        <v>19</v>
      </c>
      <c r="C34" s="57"/>
      <c r="D34" s="57"/>
      <c r="E34" s="57"/>
      <c r="F34" s="105"/>
      <c r="G34" s="106"/>
      <c r="H34" s="107"/>
      <c r="I34" s="102">
        <f t="shared" si="0"/>
        <v>0</v>
      </c>
      <c r="J34" s="437"/>
      <c r="K34" s="427"/>
    </row>
    <row r="35" spans="2:11" ht="18" customHeight="1" x14ac:dyDescent="0.35">
      <c r="B35" s="104">
        <f t="shared" si="1"/>
        <v>20</v>
      </c>
      <c r="C35" s="57"/>
      <c r="D35" s="57"/>
      <c r="E35" s="57"/>
      <c r="F35" s="105"/>
      <c r="G35" s="106"/>
      <c r="H35" s="107"/>
      <c r="I35" s="102">
        <f t="shared" si="0"/>
        <v>0</v>
      </c>
      <c r="J35" s="437"/>
      <c r="K35" s="427"/>
    </row>
    <row r="36" spans="2:11" ht="18" customHeight="1" x14ac:dyDescent="0.35">
      <c r="B36" s="104">
        <f t="shared" si="1"/>
        <v>21</v>
      </c>
      <c r="C36" s="57"/>
      <c r="D36" s="57"/>
      <c r="E36" s="57"/>
      <c r="F36" s="105"/>
      <c r="G36" s="106"/>
      <c r="H36" s="107"/>
      <c r="I36" s="102">
        <f t="shared" si="0"/>
        <v>0</v>
      </c>
      <c r="J36" s="437"/>
      <c r="K36" s="427"/>
    </row>
    <row r="37" spans="2:11" ht="18" customHeight="1" x14ac:dyDescent="0.35">
      <c r="B37" s="104">
        <f t="shared" si="1"/>
        <v>22</v>
      </c>
      <c r="C37" s="57"/>
      <c r="D37" s="57"/>
      <c r="E37" s="57"/>
      <c r="F37" s="105"/>
      <c r="G37" s="106"/>
      <c r="H37" s="107"/>
      <c r="I37" s="102">
        <f t="shared" si="0"/>
        <v>0</v>
      </c>
      <c r="J37" s="437"/>
      <c r="K37" s="427"/>
    </row>
    <row r="38" spans="2:11" ht="18" customHeight="1" x14ac:dyDescent="0.35">
      <c r="B38" s="104">
        <f t="shared" si="1"/>
        <v>23</v>
      </c>
      <c r="C38" s="57"/>
      <c r="D38" s="57"/>
      <c r="E38" s="57"/>
      <c r="F38" s="105"/>
      <c r="G38" s="106"/>
      <c r="H38" s="107"/>
      <c r="I38" s="102">
        <f t="shared" si="0"/>
        <v>0</v>
      </c>
      <c r="J38" s="437"/>
      <c r="K38" s="427"/>
    </row>
    <row r="39" spans="2:11" ht="18" customHeight="1" x14ac:dyDescent="0.35">
      <c r="B39" s="104">
        <f t="shared" si="1"/>
        <v>24</v>
      </c>
      <c r="C39" s="57"/>
      <c r="D39" s="57"/>
      <c r="E39" s="57"/>
      <c r="F39" s="105"/>
      <c r="G39" s="106"/>
      <c r="H39" s="107"/>
      <c r="I39" s="102">
        <f t="shared" si="0"/>
        <v>0</v>
      </c>
      <c r="J39" s="437"/>
      <c r="K39" s="427"/>
    </row>
    <row r="40" spans="2:11" ht="18" customHeight="1" x14ac:dyDescent="0.3">
      <c r="B40" s="31"/>
      <c r="C40" s="112"/>
      <c r="D40" s="112"/>
      <c r="E40" s="57"/>
      <c r="F40" s="113"/>
      <c r="G40" s="114"/>
      <c r="H40" s="115"/>
      <c r="I40" s="102">
        <f t="shared" si="0"/>
        <v>0</v>
      </c>
      <c r="J40" s="437"/>
      <c r="K40" s="427"/>
    </row>
    <row r="41" spans="2:11" ht="18" customHeight="1" x14ac:dyDescent="0.3">
      <c r="B41" s="31"/>
      <c r="C41" s="112"/>
      <c r="D41" s="112"/>
      <c r="E41" s="57"/>
      <c r="F41" s="113"/>
      <c r="G41" s="114"/>
      <c r="H41" s="115"/>
      <c r="I41" s="102">
        <f t="shared" si="0"/>
        <v>0</v>
      </c>
      <c r="J41" s="437"/>
      <c r="K41" s="427"/>
    </row>
    <row r="42" spans="2:11" ht="18" customHeight="1" thickBot="1" x14ac:dyDescent="0.35">
      <c r="B42" s="116"/>
      <c r="C42" s="72"/>
      <c r="D42" s="72"/>
      <c r="E42" s="72"/>
      <c r="F42" s="118"/>
      <c r="G42" s="119"/>
      <c r="H42" s="120"/>
      <c r="I42" s="121">
        <f t="shared" si="0"/>
        <v>0</v>
      </c>
      <c r="J42" s="354"/>
      <c r="K42" s="99"/>
    </row>
    <row r="43" spans="2:11" x14ac:dyDescent="0.3">
      <c r="B43" s="123"/>
      <c r="C43" s="355" t="s">
        <v>49</v>
      </c>
      <c r="D43" s="57"/>
      <c r="E43" s="356"/>
      <c r="F43" s="126"/>
      <c r="G43" s="58"/>
      <c r="H43" s="126"/>
      <c r="I43" s="310">
        <f>SUM(I15:I42)</f>
        <v>110100</v>
      </c>
      <c r="J43" s="109"/>
      <c r="K43" s="103"/>
    </row>
    <row r="44" spans="2:11" ht="18" customHeight="1" thickBot="1" x14ac:dyDescent="0.35">
      <c r="B44" s="116"/>
      <c r="C44" s="72"/>
      <c r="D44" s="72"/>
      <c r="E44" s="72"/>
      <c r="F44" s="118"/>
      <c r="G44" s="119"/>
      <c r="H44" s="118"/>
      <c r="I44" s="118"/>
      <c r="J44" s="122"/>
      <c r="K44" s="99"/>
    </row>
  </sheetData>
  <mergeCells count="26">
    <mergeCell ref="J16:K16"/>
    <mergeCell ref="J37:K37"/>
    <mergeCell ref="J38:K38"/>
    <mergeCell ref="J39:K39"/>
    <mergeCell ref="J40:K40"/>
    <mergeCell ref="J17:K17"/>
    <mergeCell ref="J18:K18"/>
    <mergeCell ref="J19:K19"/>
    <mergeCell ref="J20:K20"/>
    <mergeCell ref="J29:K29"/>
    <mergeCell ref="J30:K30"/>
    <mergeCell ref="J31:K31"/>
    <mergeCell ref="J32:K32"/>
    <mergeCell ref="J33:K33"/>
    <mergeCell ref="J41:K41"/>
    <mergeCell ref="J21:K21"/>
    <mergeCell ref="J22:K22"/>
    <mergeCell ref="J23:K23"/>
    <mergeCell ref="J24:K24"/>
    <mergeCell ref="J25:K25"/>
    <mergeCell ref="J36:K36"/>
    <mergeCell ref="J34:K34"/>
    <mergeCell ref="J35:K35"/>
    <mergeCell ref="J26:K26"/>
    <mergeCell ref="J27:K27"/>
    <mergeCell ref="J28:K28"/>
  </mergeCells>
  <printOptions horizontalCentered="1"/>
  <pageMargins left="0.23" right="0.32" top="0.65" bottom="0.51" header="0.63" footer="0.32"/>
  <pageSetup scale="94" orientation="landscape" r:id="rId1"/>
  <headerFooter alignWithMargins="0">
    <oddHeader xml:space="preserve">&amp;C
</oddHeader>
    <oddFooter>&amp;LFile: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25"/>
  <sheetViews>
    <sheetView zoomScaleNormal="100" workbookViewId="0">
      <selection activeCell="D3" sqref="D3"/>
    </sheetView>
  </sheetViews>
  <sheetFormatPr defaultColWidth="9.1796875" defaultRowHeight="13" x14ac:dyDescent="0.3"/>
  <cols>
    <col min="1" max="1" width="4" style="1" customWidth="1"/>
    <col min="2" max="2" width="6" style="1" customWidth="1"/>
    <col min="3" max="3" width="9.26953125" style="1" customWidth="1"/>
    <col min="4" max="4" width="18" style="1" customWidth="1"/>
    <col min="5" max="5" width="14.54296875" style="1" customWidth="1"/>
    <col min="6" max="6" width="12.54296875" style="1" customWidth="1"/>
    <col min="7" max="7" width="9.26953125" style="1" customWidth="1"/>
    <col min="8" max="8" width="11.7265625" style="1" customWidth="1"/>
    <col min="9" max="9" width="16" style="1" customWidth="1"/>
    <col min="10" max="10" width="17.7265625" style="1" customWidth="1"/>
    <col min="11" max="11" width="30.1796875" style="1" customWidth="1"/>
    <col min="12" max="16384" width="9.1796875" style="1"/>
  </cols>
  <sheetData>
    <row r="1" spans="2:11" ht="15.5" x14ac:dyDescent="0.35">
      <c r="B1" s="83" t="s">
        <v>26</v>
      </c>
      <c r="C1" s="83"/>
      <c r="D1" s="84"/>
      <c r="G1" s="85" t="s">
        <v>0</v>
      </c>
      <c r="J1" s="86" t="s">
        <v>27</v>
      </c>
      <c r="K1" s="84"/>
    </row>
    <row r="2" spans="2:11" ht="18.5" x14ac:dyDescent="0.45">
      <c r="B2" s="83" t="s">
        <v>28</v>
      </c>
      <c r="C2" s="83"/>
      <c r="D2" s="84"/>
      <c r="G2" s="2" t="s">
        <v>29</v>
      </c>
      <c r="J2" s="86" t="s">
        <v>30</v>
      </c>
      <c r="K2" s="84"/>
    </row>
    <row r="3" spans="2:11" ht="15.5" x14ac:dyDescent="0.35">
      <c r="B3" s="83" t="s">
        <v>31</v>
      </c>
      <c r="C3" s="83"/>
      <c r="D3" s="84">
        <f>+'INSTRUCTIONS and DATA'!E20</f>
        <v>0</v>
      </c>
      <c r="J3" s="86" t="s">
        <v>32</v>
      </c>
      <c r="K3" s="84"/>
    </row>
    <row r="4" spans="2:11" ht="15.5" x14ac:dyDescent="0.35">
      <c r="D4" s="87"/>
      <c r="J4" s="86"/>
      <c r="K4" s="87"/>
    </row>
    <row r="5" spans="2:11" ht="15.5" x14ac:dyDescent="0.35">
      <c r="C5" s="86" t="s">
        <v>33</v>
      </c>
      <c r="D5" s="88">
        <f>+'INSTRUCTIONS and DATA'!E8</f>
        <v>0</v>
      </c>
      <c r="E5" s="88"/>
      <c r="F5" s="84"/>
      <c r="G5" s="84"/>
      <c r="H5" s="84"/>
      <c r="I5" s="84"/>
      <c r="K5" s="83"/>
    </row>
    <row r="6" spans="2:11" ht="13.5" thickBot="1" x14ac:dyDescent="0.35">
      <c r="C6" s="57"/>
      <c r="D6" s="57"/>
      <c r="F6" s="6"/>
    </row>
    <row r="7" spans="2:11" ht="15.5" x14ac:dyDescent="0.35">
      <c r="B7" s="89"/>
      <c r="C7" s="90"/>
      <c r="D7" s="90"/>
      <c r="E7" s="91"/>
      <c r="F7" s="91"/>
      <c r="G7" s="91"/>
      <c r="H7" s="91" t="s">
        <v>34</v>
      </c>
      <c r="I7" s="91"/>
      <c r="J7" s="92"/>
      <c r="K7" s="93"/>
    </row>
    <row r="8" spans="2:11" ht="16" thickBot="1" x14ac:dyDescent="0.4">
      <c r="B8" s="94" t="s">
        <v>7</v>
      </c>
      <c r="C8" s="95"/>
      <c r="D8" s="96" t="s">
        <v>35</v>
      </c>
      <c r="E8" s="97"/>
      <c r="F8" s="98" t="s">
        <v>36</v>
      </c>
      <c r="G8" s="98" t="s">
        <v>34</v>
      </c>
      <c r="H8" s="98" t="s">
        <v>37</v>
      </c>
      <c r="I8" s="98" t="s">
        <v>6</v>
      </c>
      <c r="J8" s="96" t="s">
        <v>38</v>
      </c>
      <c r="K8" s="99"/>
    </row>
    <row r="9" spans="2:11" ht="15.5" x14ac:dyDescent="0.35">
      <c r="B9" s="100"/>
      <c r="C9" s="57"/>
      <c r="D9" s="57"/>
      <c r="E9" s="88"/>
      <c r="F9" s="101"/>
      <c r="G9" s="101"/>
      <c r="H9" s="101"/>
      <c r="I9" s="102"/>
      <c r="J9" s="56"/>
      <c r="K9" s="103"/>
    </row>
    <row r="10" spans="2:11" ht="18" customHeight="1" x14ac:dyDescent="0.35">
      <c r="B10" s="104">
        <v>1</v>
      </c>
      <c r="C10" s="88" t="s">
        <v>39</v>
      </c>
      <c r="D10" s="88"/>
      <c r="E10" s="88"/>
      <c r="F10" s="105">
        <v>1</v>
      </c>
      <c r="G10" s="106" t="s">
        <v>356</v>
      </c>
      <c r="H10" s="107"/>
      <c r="I10" s="108">
        <f>+H10*F10</f>
        <v>0</v>
      </c>
      <c r="J10" s="109"/>
      <c r="K10" s="103"/>
    </row>
    <row r="11" spans="2:11" ht="18" customHeight="1" x14ac:dyDescent="0.35">
      <c r="B11" s="104">
        <f>+B10+1</f>
        <v>2</v>
      </c>
      <c r="C11" s="88" t="s">
        <v>40</v>
      </c>
      <c r="D11" s="88"/>
      <c r="E11" s="88"/>
      <c r="F11" s="105">
        <f>+'INSTRUCTIONS and DATA'!G14</f>
        <v>12</v>
      </c>
      <c r="G11" s="106" t="s">
        <v>233</v>
      </c>
      <c r="H11" s="107">
        <v>18500</v>
      </c>
      <c r="I11" s="108">
        <f t="shared" ref="I11:I22" si="0">+H11*F11</f>
        <v>222000</v>
      </c>
      <c r="J11" s="438"/>
      <c r="K11" s="439"/>
    </row>
    <row r="12" spans="2:11" ht="18" customHeight="1" x14ac:dyDescent="0.35">
      <c r="B12" s="104">
        <f t="shared" ref="B12:B20" si="1">+B11+1</f>
        <v>3</v>
      </c>
      <c r="C12" s="88" t="s">
        <v>41</v>
      </c>
      <c r="D12" s="88"/>
      <c r="E12" s="88"/>
      <c r="F12" s="105">
        <v>1</v>
      </c>
      <c r="G12" s="106" t="s">
        <v>356</v>
      </c>
      <c r="H12" s="107"/>
      <c r="I12" s="108">
        <f t="shared" si="0"/>
        <v>0</v>
      </c>
      <c r="J12" s="57"/>
      <c r="K12" s="103"/>
    </row>
    <row r="13" spans="2:11" ht="18" customHeight="1" x14ac:dyDescent="0.35">
      <c r="B13" s="104">
        <f t="shared" si="1"/>
        <v>4</v>
      </c>
      <c r="C13" s="88" t="s">
        <v>42</v>
      </c>
      <c r="D13" s="88"/>
      <c r="E13" s="88"/>
      <c r="F13" s="105">
        <f>+'INSTRUCTIONS and DATA'!G14</f>
        <v>12</v>
      </c>
      <c r="G13" s="106" t="s">
        <v>233</v>
      </c>
      <c r="H13" s="107"/>
      <c r="I13" s="108">
        <f t="shared" si="0"/>
        <v>0</v>
      </c>
      <c r="J13" s="57"/>
      <c r="K13" s="103"/>
    </row>
    <row r="14" spans="2:11" ht="18" customHeight="1" x14ac:dyDescent="0.35">
      <c r="B14" s="104">
        <f t="shared" si="1"/>
        <v>5</v>
      </c>
      <c r="C14" s="88" t="s">
        <v>43</v>
      </c>
      <c r="D14" s="88"/>
      <c r="E14" s="88"/>
      <c r="F14" s="105"/>
      <c r="G14" s="106"/>
      <c r="H14" s="107"/>
      <c r="I14" s="108">
        <f t="shared" si="0"/>
        <v>0</v>
      </c>
      <c r="J14" s="57"/>
      <c r="K14" s="103"/>
    </row>
    <row r="15" spans="2:11" ht="18" customHeight="1" x14ac:dyDescent="0.35">
      <c r="B15" s="104">
        <f t="shared" si="1"/>
        <v>6</v>
      </c>
      <c r="C15" s="88" t="s">
        <v>44</v>
      </c>
      <c r="D15" s="88"/>
      <c r="E15" s="111"/>
      <c r="F15" s="105"/>
      <c r="G15" s="106"/>
      <c r="H15" s="107"/>
      <c r="I15" s="108">
        <f t="shared" si="0"/>
        <v>0</v>
      </c>
      <c r="J15" s="88" t="s">
        <v>261</v>
      </c>
      <c r="K15" s="110"/>
    </row>
    <row r="16" spans="2:11" ht="18" customHeight="1" x14ac:dyDescent="0.35">
      <c r="B16" s="104">
        <f t="shared" si="1"/>
        <v>7</v>
      </c>
      <c r="C16" s="88" t="s">
        <v>45</v>
      </c>
      <c r="D16" s="88"/>
      <c r="E16" s="88"/>
      <c r="F16" s="105"/>
      <c r="G16" s="106"/>
      <c r="H16" s="107"/>
      <c r="I16" s="108">
        <f t="shared" si="0"/>
        <v>0</v>
      </c>
      <c r="J16" s="109"/>
      <c r="K16" s="103"/>
    </row>
    <row r="17" spans="2:11" ht="18" customHeight="1" x14ac:dyDescent="0.35">
      <c r="B17" s="104">
        <f t="shared" si="1"/>
        <v>8</v>
      </c>
      <c r="C17" s="88" t="s">
        <v>260</v>
      </c>
      <c r="D17" s="88"/>
      <c r="E17" s="88"/>
      <c r="F17" s="105">
        <v>0</v>
      </c>
      <c r="G17" s="106" t="s">
        <v>236</v>
      </c>
      <c r="H17" s="107">
        <v>510</v>
      </c>
      <c r="I17" s="108">
        <f t="shared" ref="I17" si="2">+H17*F17</f>
        <v>0</v>
      </c>
      <c r="J17" s="109"/>
      <c r="K17" s="103"/>
    </row>
    <row r="18" spans="2:11" ht="18" customHeight="1" x14ac:dyDescent="0.35">
      <c r="B18" s="104">
        <f t="shared" si="1"/>
        <v>9</v>
      </c>
      <c r="C18" s="88" t="s">
        <v>46</v>
      </c>
      <c r="D18" s="88"/>
      <c r="E18" s="88"/>
      <c r="F18" s="105"/>
      <c r="G18" s="106"/>
      <c r="H18" s="107"/>
      <c r="I18" s="108">
        <f t="shared" si="0"/>
        <v>0</v>
      </c>
      <c r="J18" s="109"/>
      <c r="K18" s="103"/>
    </row>
    <row r="19" spans="2:11" ht="18" customHeight="1" x14ac:dyDescent="0.35">
      <c r="B19" s="104">
        <f t="shared" si="1"/>
        <v>10</v>
      </c>
      <c r="C19" s="88" t="s">
        <v>47</v>
      </c>
      <c r="D19" s="88"/>
      <c r="E19" s="88"/>
      <c r="F19" s="105"/>
      <c r="G19" s="106"/>
      <c r="H19" s="107"/>
      <c r="I19" s="108">
        <f t="shared" si="0"/>
        <v>0</v>
      </c>
      <c r="J19" s="109"/>
      <c r="K19" s="103"/>
    </row>
    <row r="20" spans="2:11" ht="18" customHeight="1" x14ac:dyDescent="0.35">
      <c r="B20" s="104">
        <f t="shared" si="1"/>
        <v>11</v>
      </c>
      <c r="C20" s="88" t="s">
        <v>48</v>
      </c>
      <c r="D20" s="88"/>
      <c r="E20" s="88"/>
      <c r="F20" s="105">
        <f>+'INSTRUCTIONS and DATA'!G14</f>
        <v>12</v>
      </c>
      <c r="G20" s="106" t="s">
        <v>233</v>
      </c>
      <c r="H20" s="107"/>
      <c r="I20" s="108">
        <f t="shared" si="0"/>
        <v>0</v>
      </c>
      <c r="J20" s="109"/>
      <c r="K20" s="103"/>
    </row>
    <row r="21" spans="2:11" ht="18" customHeight="1" x14ac:dyDescent="0.35">
      <c r="B21" s="31"/>
      <c r="C21" s="112"/>
      <c r="D21" s="112"/>
      <c r="E21" s="88"/>
      <c r="F21" s="113"/>
      <c r="G21" s="114"/>
      <c r="H21" s="115"/>
      <c r="I21" s="108">
        <f t="shared" si="0"/>
        <v>0</v>
      </c>
      <c r="J21" s="109"/>
      <c r="K21" s="103"/>
    </row>
    <row r="22" spans="2:11" ht="18" customHeight="1" x14ac:dyDescent="0.35">
      <c r="B22" s="31"/>
      <c r="C22" s="112"/>
      <c r="D22" s="112"/>
      <c r="E22" s="88"/>
      <c r="F22" s="113"/>
      <c r="G22" s="114"/>
      <c r="H22" s="115"/>
      <c r="I22" s="108">
        <f t="shared" si="0"/>
        <v>0</v>
      </c>
      <c r="J22" s="109"/>
      <c r="K22" s="103"/>
    </row>
    <row r="23" spans="2:11" ht="18" customHeight="1" thickBot="1" x14ac:dyDescent="0.4">
      <c r="B23" s="116"/>
      <c r="C23" s="72"/>
      <c r="D23" s="72"/>
      <c r="E23" s="117"/>
      <c r="F23" s="118"/>
      <c r="G23" s="119"/>
      <c r="H23" s="120"/>
      <c r="I23" s="121"/>
      <c r="J23" s="122"/>
      <c r="K23" s="99"/>
    </row>
    <row r="24" spans="2:11" ht="15.5" x14ac:dyDescent="0.35">
      <c r="B24" s="123"/>
      <c r="C24" s="124" t="s">
        <v>49</v>
      </c>
      <c r="D24" s="57"/>
      <c r="E24" s="125"/>
      <c r="F24" s="126"/>
      <c r="G24" s="58"/>
      <c r="H24" s="126"/>
      <c r="I24" s="127">
        <f>SUM(I10:I23)</f>
        <v>222000</v>
      </c>
      <c r="J24" s="109"/>
      <c r="K24" s="103"/>
    </row>
    <row r="25" spans="2:11" ht="18" customHeight="1" thickBot="1" x14ac:dyDescent="0.35">
      <c r="B25" s="116"/>
      <c r="C25" s="72"/>
      <c r="D25" s="72"/>
      <c r="E25" s="72"/>
      <c r="F25" s="118"/>
      <c r="G25" s="119"/>
      <c r="H25" s="118"/>
      <c r="I25" s="118"/>
      <c r="J25" s="122"/>
      <c r="K25" s="99"/>
    </row>
  </sheetData>
  <mergeCells count="1">
    <mergeCell ref="J11:K11"/>
  </mergeCells>
  <phoneticPr fontId="0" type="noConversion"/>
  <printOptions horizontalCentered="1"/>
  <pageMargins left="0.23" right="0.32" top="0.65" bottom="0.51" header="0.63" footer="0.32"/>
  <pageSetup scale="91" orientation="landscape" r:id="rId1"/>
  <headerFooter alignWithMargins="0">
    <oddHeader xml:space="preserve">&amp;C
</oddHeader>
    <oddFooter>&amp;LFile: &amp;F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m u l U L f 0 s c + n A A A A + A A A A B I A H A B D b 2 5 m a W c v U G F j a 2 F n Z S 5 4 b W w g o h g A K K A U A A A A A A A A A A A A A A A A A A A A A A A A A A A A h Y 9 B D o I w F E S v Q r q n h Y K G k E 9 Z u J X E h G j c N q V C I x R D i + V u L j y S V 5 B E U X c u Z / I m e f O 4 3 S G f u t a 7 y s G o X m c o x A H y p B Z 9 p X S d o d G e / A T l D H Z c n H k t v R n W J p 2 M y l B j 7 S U l x D m H X Y T 7 o S Y 0 C E J y L L a l a G T H f a W N 5 V p I 9 F l V / 1 e I w e E l w y h e J 3 g V R x T T O A S y 1 F A o / U X o b I w D I D 8 l b M b W j o N k U v v 7 E s g S g b x f s C d Q S w M E F A A C A A g A R m u l 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r p V A o i k e 4 D g A A A B E A A A A T A B w A R m 9 y b X V s Y X M v U 2 V j d G l v b j E u b S C i G A A o o B Q A A A A A A A A A A A A A A A A A A A A A A A A A A A A r T k 0 u y c z P U w i G 0 I b W A F B L A Q I t A B Q A A g A I A E Z r p V C 3 9 L H P p w A A A P g A A A A S A A A A A A A A A A A A A A A A A A A A A A B D b 2 5 m a W c v U G F j a 2 F n Z S 5 4 b W x Q S w E C L Q A U A A I A C A B G a 6 V Q D 8 r p q 6 Q A A A D p A A A A E w A A A A A A A A A A A A A A A A D z A A A A W 0 N v b n R l b n R f V H l w Z X N d L n h t b F B L A Q I t A B Q A A g A I A E Z r p 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s 3 E f r R T k I T 6 / 3 8 f p i k P V l A A A A A A I A A A A A A A N m A A D A A A A A E A A A A F I / c S U 8 P I Z 9 u S N K b 9 5 o W r Q A A A A A B I A A A K A A A A A Q A A A A E D k u O + E u Y P E i c c k S Q j v t m l A A A A D m M M 6 J d + A a y P 2 Y Y p G i p U d z a E E u 4 f m D / a I h K y J B S P c J L x 3 b x F T w e V j Y a Y c T Y B T 4 o d o d W Y I J D 0 8 p N V g m I y 9 B Z Q d X r I U z V X q f d i s 7 G J O 5 V p M A F x Q A A A D m k X U K 4 P p i / 2 u s C l L y F 6 r y y T H T 5 w = = < / D a t a M a s h u p > 
</file>

<file path=customXml/itemProps1.xml><?xml version="1.0" encoding="utf-8"?>
<ds:datastoreItem xmlns:ds="http://schemas.openxmlformats.org/officeDocument/2006/customXml" ds:itemID="{2F90A3ED-E49D-4416-ADE9-24CE842B45B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18</vt:i4>
      </vt:variant>
    </vt:vector>
  </HeadingPairs>
  <TitlesOfParts>
    <vt:vector size="40" baseType="lpstr">
      <vt:lpstr>INSTRUCTIONS and DATA</vt:lpstr>
      <vt:lpstr>DB Definitions</vt:lpstr>
      <vt:lpstr>junk (2)</vt:lpstr>
      <vt:lpstr>junk</vt:lpstr>
      <vt:lpstr>Stage I Estimate Form</vt:lpstr>
      <vt:lpstr>Summary D-B-B</vt:lpstr>
      <vt:lpstr>Summary Design Build</vt:lpstr>
      <vt:lpstr>Net Cost</vt:lpstr>
      <vt:lpstr>GConditions</vt:lpstr>
      <vt:lpstr>MOT</vt:lpstr>
      <vt:lpstr>Civil</vt:lpstr>
      <vt:lpstr>Structural</vt:lpstr>
      <vt:lpstr>Architectural</vt:lpstr>
      <vt:lpstr>Mechanical</vt:lpstr>
      <vt:lpstr>Plumbing</vt:lpstr>
      <vt:lpstr>Fire Protection</vt:lpstr>
      <vt:lpstr>Electrical</vt:lpstr>
      <vt:lpstr>Electronics</vt:lpstr>
      <vt:lpstr>Environmental</vt:lpstr>
      <vt:lpstr>Geotechnical</vt:lpstr>
      <vt:lpstr>Traffic-Perm</vt:lpstr>
      <vt:lpstr>Constr Allowances</vt:lpstr>
      <vt:lpstr>EE</vt:lpstr>
      <vt:lpstr>NetCost</vt:lpstr>
      <vt:lpstr>Architectural!Print_Area</vt:lpstr>
      <vt:lpstr>Civil!Print_Area</vt:lpstr>
      <vt:lpstr>'Constr Allowances'!Print_Area</vt:lpstr>
      <vt:lpstr>Electrical!Print_Area</vt:lpstr>
      <vt:lpstr>Electronics!Print_Area</vt:lpstr>
      <vt:lpstr>Environmental!Print_Area</vt:lpstr>
      <vt:lpstr>'Fire Protection'!Print_Area</vt:lpstr>
      <vt:lpstr>Geotechnical!Print_Area</vt:lpstr>
      <vt:lpstr>Mechanical!Print_Area</vt:lpstr>
      <vt:lpstr>MOT!Print_Area</vt:lpstr>
      <vt:lpstr>Plumbing!Print_Area</vt:lpstr>
      <vt:lpstr>'Stage I Estimate Form'!Print_Area</vt:lpstr>
      <vt:lpstr>Structural!Print_Area</vt:lpstr>
      <vt:lpstr>'Summary D-B-B'!Print_Area</vt:lpstr>
      <vt:lpstr>'Summary Design Build'!Print_Area</vt:lpstr>
      <vt:lpstr>'Traffic-Perm'!Print_Area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EMSD</dc:creator>
  <cp:lastModifiedBy>Stokes, Ocean</cp:lastModifiedBy>
  <cp:lastPrinted>2019-05-20T13:48:33Z</cp:lastPrinted>
  <dcterms:created xsi:type="dcterms:W3CDTF">1999-09-13T19:48:41Z</dcterms:created>
  <dcterms:modified xsi:type="dcterms:W3CDTF">2023-10-20T16:38:12Z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